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сводная'!$A$1:$O$40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N31" s="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H31"/>
  <c r="I31" s="1"/>
  <c r="J31" s="1"/>
  <c r="J20"/>
  <c r="K32"/>
  <c r="K26"/>
  <c r="H19"/>
  <c r="I19" s="1"/>
  <c r="J19" s="1"/>
  <c r="H22"/>
  <c r="H21"/>
  <c r="I22"/>
  <c r="I21"/>
  <c r="J21"/>
  <c r="L22"/>
  <c r="L21"/>
  <c r="M21" s="1"/>
  <c r="M26" s="1"/>
  <c r="L20"/>
  <c r="L26" s="1"/>
  <c r="H35"/>
  <c r="I35" s="1"/>
  <c r="J35" s="1"/>
  <c r="A31"/>
  <c r="M22"/>
  <c r="H8"/>
  <c r="I8" s="1"/>
  <c r="J8" s="1"/>
  <c r="H9"/>
  <c r="I9" s="1"/>
  <c r="J9" s="1"/>
  <c r="H10"/>
  <c r="I10" s="1"/>
  <c r="J10" s="1"/>
  <c r="H11"/>
  <c r="I11" s="1"/>
  <c r="J11" s="1"/>
  <c r="H12"/>
  <c r="I12" s="1"/>
  <c r="J12" s="1"/>
  <c r="H13"/>
  <c r="I13"/>
  <c r="J13" s="1"/>
  <c r="H14"/>
  <c r="I14" s="1"/>
  <c r="J14" s="1"/>
  <c r="H15"/>
  <c r="I15" s="1"/>
  <c r="J15" s="1"/>
  <c r="H16"/>
  <c r="I16" s="1"/>
  <c r="J16" s="1"/>
  <c r="H17"/>
  <c r="I17"/>
  <c r="J17" s="1"/>
  <c r="H18"/>
  <c r="I18" s="1"/>
  <c r="J18" s="1"/>
  <c r="H20"/>
  <c r="I20" s="1"/>
  <c r="H23"/>
  <c r="I23" s="1"/>
  <c r="J23" s="1"/>
  <c r="H24"/>
  <c r="I24"/>
  <c r="J24" s="1"/>
  <c r="H25"/>
  <c r="I25" s="1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29"/>
  <c r="J29" s="1"/>
  <c r="J22"/>
  <c r="M31" l="1"/>
  <c r="H30"/>
  <c r="I30" s="1"/>
  <c r="L30" s="1"/>
  <c r="M30" s="1"/>
  <c r="L31"/>
  <c r="K33"/>
  <c r="K36" s="1"/>
  <c r="J26"/>
  <c r="H26"/>
  <c r="I26"/>
  <c r="L32" l="1"/>
  <c r="L33" s="1"/>
  <c r="L36" s="1"/>
  <c r="M32"/>
  <c r="M33" s="1"/>
  <c r="M36" s="1"/>
  <c r="I32"/>
  <c r="J30"/>
  <c r="I33"/>
  <c r="G33" s="1"/>
  <c r="G36" s="1"/>
  <c r="J32"/>
  <c r="J33" s="1"/>
  <c r="N33"/>
  <c r="N36" s="1"/>
  <c r="L38" l="1"/>
  <c r="L39" s="1"/>
  <c r="J36"/>
</calcChain>
</file>

<file path=xl/sharedStrings.xml><?xml version="1.0" encoding="utf-8"?>
<sst xmlns="http://schemas.openxmlformats.org/spreadsheetml/2006/main" count="103" uniqueCount="67">
  <si>
    <t>1 раз в год</t>
  </si>
  <si>
    <t>4 раза в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</si>
  <si>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</si>
  <si>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</si>
  <si>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</si>
  <si>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</si>
  <si>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</si>
  <si>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</si>
  <si>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</si>
  <si>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</si>
  <si>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</si>
  <si>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</si>
  <si>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</si>
  <si>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</si>
  <si>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</si>
  <si>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</si>
  <si>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</si>
  <si>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</si>
  <si>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</si>
  <si>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</si>
  <si>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</si>
  <si>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</si>
  <si>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</si>
  <si>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цена (руб.)</t>
  </si>
  <si>
    <t>объем</t>
  </si>
  <si>
    <t>Итого стоимость в руб. в год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</si>
  <si>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</si>
  <si>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</si>
  <si>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</si>
  <si>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</si>
  <si>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</si>
  <si>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</si>
  <si>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</si>
  <si>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</si>
  <si>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</si>
  <si>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</si>
  <si>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</si>
  <si>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</si>
  <si>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</si>
  <si>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</si>
  <si>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</si>
  <si>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</si>
  <si>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</si>
  <si>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</si>
  <si>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</si>
  <si>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об. Имущества</t>
  </si>
  <si>
    <t>убрать при печати</t>
  </si>
  <si>
    <t>Техническое обслуживание внутридомового газового оборудования</t>
  </si>
  <si>
    <t>г. Рязань ул. Западная д. 12</t>
  </si>
  <si>
    <t>Осмотр наружных конструкций кирпичного или каменного дома</t>
  </si>
  <si>
    <t xml:space="preserve">Уборка лестничных площадок и маршей </t>
  </si>
  <si>
    <t>Осмотр технических этажей, чердаков и подвальных помещений</t>
  </si>
  <si>
    <t xml:space="preserve">Осмотр мест общего пользования </t>
  </si>
  <si>
    <t>Аварийное обслуживание, непредвиденные работы</t>
  </si>
  <si>
    <t>Периодичность</t>
  </si>
  <si>
    <t>постоянно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</si>
  <si>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</si>
  <si>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Тариф на 1м2/мес. в руб. без ОДН</t>
  </si>
  <si>
    <t>Итого</t>
  </si>
  <si>
    <t>КРСОИ</t>
  </si>
  <si>
    <t>3 раза в год-вентканалы в МКД с газовыми приборами, раз в год-в МКД с электроплитами</t>
  </si>
  <si>
    <t>Ед.изм.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</si>
  <si>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</si>
  <si>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</si>
  <si>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 xml:space="preserve"> </t>
  </si>
  <si>
    <t>Коммунальные ресурсы потребляемые в целях содержания общего имущества в многоквартирном доме (КРСОИ) с 01.07.2024</t>
  </si>
  <si>
    <t xml:space="preserve"> Расчет платы за услуги (работы)  по содержанию,управлению и текущему ремонту  общего имущества многоквартирного дома 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</si>
</sst>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3" borderId="0" xfId="0" applyNumberFormat="1" applyFont="1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/>
    <xf numFmtId="4" fontId="4" fillId="3" borderId="2" xfId="0" applyNumberFormat="1" applyFont="1" applyFill="1" applyBorder="1"/>
    <xf numFmtId="0" fontId="4" fillId="3" borderId="0" xfId="0" applyFont="1" applyFill="1"/>
    <xf numFmtId="4" fontId="4" fillId="3" borderId="0" xfId="0" applyNumberFormat="1" applyFont="1" applyFill="1"/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2" fontId="2" fillId="3" borderId="0" xfId="0" applyNumberFormat="1" applyFont="1" applyFill="1"/>
    <xf numFmtId="2" fontId="2" fillId="0" borderId="2" xfId="0" applyNumberFormat="1" applyFont="1" applyBorder="1"/>
    <xf numFmtId="2" fontId="2" fillId="3" borderId="2" xfId="0" applyNumberFormat="1" applyFont="1" applyFill="1" applyBorder="1"/>
    <xf numFmtId="2" fontId="4" fillId="4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/>
    <xf numFmtId="2" fontId="2" fillId="2" borderId="2" xfId="0" applyNumberFormat="1" applyFont="1" applyFill="1" applyBorder="1"/>
    <xf numFmtId="2" fontId="3" fillId="4" borderId="1" xfId="0" applyNumberFormat="1" applyFont="1" applyFill="1" applyBorder="1" applyAlignment="1">
      <alignment horizontal="center"/>
    </xf>
    <xf numFmtId="2" fontId="3" fillId="0" borderId="0" xfId="0" applyNumberFormat="1" applyFont="1"/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topLeftCell="A25" zoomScale="75" zoomScaleNormal="85" zoomScaleSheetLayoutView="75" workbookViewId="0">
      <selection activeCell="C45" sqref="C45"/>
    </sheetView>
  </sheetViews>
  <sheetFormatPr defaultColWidth="8.85546875" defaultRowHeight="15.75"/>
  <cols>
    <col min="1" max="1" width="13.7109375" style="2" customWidth="1"/>
    <col min="2" max="2" width="46.140625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7" hidden="1" customWidth="1"/>
    <col min="9" max="9" width="16.28515625" style="27" hidden="1" customWidth="1"/>
    <col min="10" max="10" width="15.140625" style="77" hidden="1" customWidth="1"/>
    <col min="11" max="11" width="13.7109375" style="2" hidden="1" customWidth="1"/>
    <col min="12" max="12" width="16.5703125" style="2" hidden="1" customWidth="1"/>
    <col min="13" max="13" width="18.42578125" style="86" hidden="1" customWidth="1"/>
    <col min="14" max="14" width="23.42578125" style="2" customWidth="1"/>
    <col min="15" max="16384" width="8.85546875" style="2"/>
  </cols>
  <sheetData>
    <row r="1" spans="1:14">
      <c r="B1" s="2" t="s">
        <v>44</v>
      </c>
      <c r="F1" s="97"/>
      <c r="G1" s="8"/>
      <c r="H1" s="26" t="s">
        <v>34</v>
      </c>
    </row>
    <row r="2" spans="1:14">
      <c r="F2" s="9" t="s">
        <v>35</v>
      </c>
      <c r="G2" s="9"/>
      <c r="H2" s="28"/>
    </row>
    <row r="3" spans="1:14" ht="15" customHeight="1">
      <c r="A3" s="101" t="s">
        <v>66</v>
      </c>
      <c r="B3" s="101"/>
      <c r="C3" s="101"/>
      <c r="D3" s="101"/>
      <c r="E3" s="101"/>
      <c r="F3" s="101"/>
      <c r="G3" s="101"/>
      <c r="H3" s="101"/>
      <c r="I3" s="101"/>
      <c r="K3" s="27"/>
      <c r="L3" s="27"/>
    </row>
    <row r="4" spans="1:14" s="42" customFormat="1" ht="47.25" customHeight="1">
      <c r="A4" s="101"/>
      <c r="B4" s="101"/>
      <c r="C4" s="101"/>
      <c r="D4" s="101"/>
      <c r="E4" s="101"/>
      <c r="F4" s="101"/>
      <c r="G4" s="101"/>
      <c r="H4" s="101"/>
      <c r="I4" s="101"/>
      <c r="J4" s="78"/>
      <c r="K4" s="41"/>
      <c r="L4" s="41"/>
      <c r="M4" s="87"/>
    </row>
    <row r="5" spans="1:14" ht="20.25" customHeight="1">
      <c r="A5" s="10" t="s">
        <v>64</v>
      </c>
      <c r="B5" s="10" t="s">
        <v>48</v>
      </c>
      <c r="C5" s="10" t="s">
        <v>28</v>
      </c>
      <c r="D5" s="11">
        <v>3370</v>
      </c>
      <c r="E5" s="11">
        <v>3370</v>
      </c>
      <c r="F5" s="12"/>
      <c r="G5" s="29"/>
      <c r="H5" s="29"/>
      <c r="I5" s="30"/>
      <c r="K5" s="10"/>
      <c r="L5" s="10"/>
    </row>
    <row r="6" spans="1:14" ht="20.25" customHeight="1">
      <c r="A6" s="105" t="s">
        <v>33</v>
      </c>
      <c r="B6" s="105"/>
      <c r="C6" s="105"/>
      <c r="D6" s="105"/>
      <c r="E6" s="105"/>
      <c r="F6" s="105"/>
      <c r="G6" s="105"/>
      <c r="H6" s="105"/>
      <c r="I6" s="105"/>
      <c r="K6" s="99" t="s">
        <v>46</v>
      </c>
      <c r="L6" s="100"/>
      <c r="M6" s="100"/>
    </row>
    <row r="7" spans="1:14" ht="53.45" customHeight="1">
      <c r="A7" s="13" t="s">
        <v>21</v>
      </c>
      <c r="B7" s="13" t="s">
        <v>22</v>
      </c>
      <c r="C7" s="13" t="s">
        <v>61</v>
      </c>
      <c r="D7" s="13" t="s">
        <v>23</v>
      </c>
      <c r="E7" s="13" t="s">
        <v>24</v>
      </c>
      <c r="F7" s="14" t="s">
        <v>54</v>
      </c>
      <c r="G7" s="14"/>
      <c r="H7" s="31" t="s">
        <v>32</v>
      </c>
      <c r="I7" s="25" t="s">
        <v>25</v>
      </c>
      <c r="J7" s="31" t="s">
        <v>41</v>
      </c>
      <c r="K7" s="13" t="s">
        <v>45</v>
      </c>
      <c r="L7" s="38"/>
      <c r="M7" s="88"/>
      <c r="N7" s="31" t="s">
        <v>41</v>
      </c>
    </row>
    <row r="8" spans="1:14" ht="63">
      <c r="A8" s="13">
        <v>1</v>
      </c>
      <c r="B8" s="68" t="s">
        <v>11</v>
      </c>
      <c r="C8" s="13" t="s">
        <v>26</v>
      </c>
      <c r="D8" s="7">
        <v>0.33</v>
      </c>
      <c r="E8" s="7">
        <v>3370</v>
      </c>
      <c r="F8" s="14" t="s">
        <v>27</v>
      </c>
      <c r="G8" s="14">
        <v>12</v>
      </c>
      <c r="H8" s="32">
        <f t="shared" ref="H8:H25" si="0">D8*E8</f>
        <v>1112.1000000000001</v>
      </c>
      <c r="I8" s="25">
        <f t="shared" ref="I8:I25" si="1">H8*G8</f>
        <v>13345.2</v>
      </c>
      <c r="J8" s="72">
        <f>I8/12/E8</f>
        <v>0.33</v>
      </c>
      <c r="K8" s="13"/>
      <c r="L8" s="38"/>
      <c r="M8" s="88"/>
      <c r="N8" s="82">
        <f>J8*1.04*1.092*1.072*1.0915</f>
        <v>0.43851902814720001</v>
      </c>
    </row>
    <row r="9" spans="1:14" ht="63">
      <c r="A9" s="13">
        <f t="shared" ref="A9:A25" si="2">A8+1</f>
        <v>2</v>
      </c>
      <c r="B9" s="69" t="s">
        <v>51</v>
      </c>
      <c r="C9" s="13" t="s">
        <v>26</v>
      </c>
      <c r="D9" s="7">
        <v>0.08</v>
      </c>
      <c r="E9" s="7">
        <v>3370</v>
      </c>
      <c r="F9" s="14" t="s">
        <v>27</v>
      </c>
      <c r="G9" s="14">
        <v>12</v>
      </c>
      <c r="H9" s="32">
        <f t="shared" si="0"/>
        <v>269.60000000000002</v>
      </c>
      <c r="I9" s="25">
        <f t="shared" si="1"/>
        <v>3235.2000000000003</v>
      </c>
      <c r="J9" s="72">
        <f t="shared" ref="J9:J25" si="3">I9/12/E9</f>
        <v>0.08</v>
      </c>
      <c r="K9" s="13"/>
      <c r="L9" s="38"/>
      <c r="M9" s="88"/>
      <c r="N9" s="82">
        <f t="shared" ref="N9:N25" si="4">J9*1.04*1.092*1.072*1.0915</f>
        <v>0.10630764318720001</v>
      </c>
    </row>
    <row r="10" spans="1:14" ht="63">
      <c r="A10" s="13">
        <f t="shared" si="2"/>
        <v>3</v>
      </c>
      <c r="B10" s="68" t="s">
        <v>12</v>
      </c>
      <c r="C10" s="13" t="s">
        <v>36</v>
      </c>
      <c r="D10" s="7">
        <v>0.16</v>
      </c>
      <c r="E10" s="7">
        <v>3370</v>
      </c>
      <c r="F10" s="14" t="s">
        <v>27</v>
      </c>
      <c r="G10" s="14">
        <v>12</v>
      </c>
      <c r="H10" s="32">
        <f t="shared" si="0"/>
        <v>539.20000000000005</v>
      </c>
      <c r="I10" s="25">
        <f t="shared" si="1"/>
        <v>6470.4000000000005</v>
      </c>
      <c r="J10" s="72">
        <f t="shared" si="3"/>
        <v>0.16</v>
      </c>
      <c r="K10" s="13"/>
      <c r="L10" s="38"/>
      <c r="M10" s="88"/>
      <c r="N10" s="82">
        <f t="shared" si="4"/>
        <v>0.21261528637440003</v>
      </c>
    </row>
    <row r="11" spans="1:14" ht="62.25" customHeight="1">
      <c r="A11" s="13">
        <f t="shared" si="2"/>
        <v>4</v>
      </c>
      <c r="B11" s="68" t="s">
        <v>13</v>
      </c>
      <c r="C11" s="13" t="s">
        <v>37</v>
      </c>
      <c r="D11" s="7">
        <v>7.0000000000000007E-2</v>
      </c>
      <c r="E11" s="7">
        <v>3370</v>
      </c>
      <c r="F11" s="14" t="s">
        <v>27</v>
      </c>
      <c r="G11" s="14">
        <v>12</v>
      </c>
      <c r="H11" s="32">
        <f t="shared" si="0"/>
        <v>235.90000000000003</v>
      </c>
      <c r="I11" s="25">
        <f t="shared" si="1"/>
        <v>2830.8</v>
      </c>
      <c r="J11" s="72">
        <f t="shared" si="3"/>
        <v>7.0000000000000007E-2</v>
      </c>
      <c r="K11" s="13"/>
      <c r="L11" s="38"/>
      <c r="M11" s="88"/>
      <c r="N11" s="82">
        <f t="shared" si="4"/>
        <v>9.3019187788800015E-2</v>
      </c>
    </row>
    <row r="12" spans="1:14" ht="78.75">
      <c r="A12" s="13">
        <f t="shared" si="2"/>
        <v>5</v>
      </c>
      <c r="B12" s="68" t="s">
        <v>14</v>
      </c>
      <c r="C12" s="13" t="s">
        <v>38</v>
      </c>
      <c r="D12" s="7">
        <v>0.04</v>
      </c>
      <c r="E12" s="7">
        <v>3370</v>
      </c>
      <c r="F12" s="14" t="s">
        <v>27</v>
      </c>
      <c r="G12" s="14">
        <v>12</v>
      </c>
      <c r="H12" s="32">
        <f t="shared" si="0"/>
        <v>134.80000000000001</v>
      </c>
      <c r="I12" s="25">
        <f t="shared" si="1"/>
        <v>1617.6000000000001</v>
      </c>
      <c r="J12" s="72">
        <f t="shared" si="3"/>
        <v>0.04</v>
      </c>
      <c r="K12" s="13"/>
      <c r="L12" s="38"/>
      <c r="M12" s="88"/>
      <c r="N12" s="82">
        <f t="shared" si="4"/>
        <v>5.3153821593600006E-2</v>
      </c>
    </row>
    <row r="13" spans="1:14" ht="63">
      <c r="A13" s="13">
        <f t="shared" si="2"/>
        <v>6</v>
      </c>
      <c r="B13" s="68" t="s">
        <v>15</v>
      </c>
      <c r="C13" s="13" t="s">
        <v>39</v>
      </c>
      <c r="D13" s="7">
        <v>0.2</v>
      </c>
      <c r="E13" s="7">
        <v>3370</v>
      </c>
      <c r="F13" s="14" t="s">
        <v>27</v>
      </c>
      <c r="G13" s="14">
        <v>12</v>
      </c>
      <c r="H13" s="32">
        <f t="shared" si="0"/>
        <v>674</v>
      </c>
      <c r="I13" s="25">
        <f t="shared" si="1"/>
        <v>8088</v>
      </c>
      <c r="J13" s="72">
        <f t="shared" si="3"/>
        <v>0.2</v>
      </c>
      <c r="K13" s="13"/>
      <c r="L13" s="38"/>
      <c r="M13" s="88"/>
      <c r="N13" s="82">
        <f t="shared" si="4"/>
        <v>0.26576910796800002</v>
      </c>
    </row>
    <row r="14" spans="1:14" ht="63">
      <c r="A14" s="13">
        <f t="shared" si="2"/>
        <v>7</v>
      </c>
      <c r="B14" s="68" t="s">
        <v>52</v>
      </c>
      <c r="C14" s="13" t="s">
        <v>4</v>
      </c>
      <c r="D14" s="7">
        <v>0.18000000000000002</v>
      </c>
      <c r="E14" s="7">
        <v>3370</v>
      </c>
      <c r="F14" s="14" t="s">
        <v>27</v>
      </c>
      <c r="G14" s="14">
        <v>12</v>
      </c>
      <c r="H14" s="32">
        <f t="shared" si="0"/>
        <v>606.6</v>
      </c>
      <c r="I14" s="25">
        <f t="shared" si="1"/>
        <v>7279.2000000000007</v>
      </c>
      <c r="J14" s="72">
        <f t="shared" si="3"/>
        <v>0.18</v>
      </c>
      <c r="K14" s="13"/>
      <c r="L14" s="38"/>
      <c r="M14" s="88"/>
      <c r="N14" s="82">
        <f t="shared" si="4"/>
        <v>0.23919219717120005</v>
      </c>
    </row>
    <row r="15" spans="1:14" ht="63">
      <c r="A15" s="13">
        <f t="shared" si="2"/>
        <v>8</v>
      </c>
      <c r="B15" s="68" t="s">
        <v>49</v>
      </c>
      <c r="C15" s="13" t="s">
        <v>4</v>
      </c>
      <c r="D15" s="7">
        <v>0.19</v>
      </c>
      <c r="E15" s="7">
        <v>3370</v>
      </c>
      <c r="F15" s="14" t="s">
        <v>27</v>
      </c>
      <c r="G15" s="14">
        <v>12</v>
      </c>
      <c r="H15" s="32">
        <f t="shared" si="0"/>
        <v>640.29999999999995</v>
      </c>
      <c r="I15" s="25">
        <f t="shared" si="1"/>
        <v>7683.5999999999995</v>
      </c>
      <c r="J15" s="72">
        <f t="shared" si="3"/>
        <v>0.18999999999999997</v>
      </c>
      <c r="K15" s="13"/>
      <c r="L15" s="38"/>
      <c r="M15" s="88"/>
      <c r="N15" s="82">
        <f t="shared" si="4"/>
        <v>0.25248065256959995</v>
      </c>
    </row>
    <row r="16" spans="1:14" ht="33" customHeight="1">
      <c r="A16" s="13">
        <f t="shared" si="2"/>
        <v>9</v>
      </c>
      <c r="B16" s="68" t="s">
        <v>53</v>
      </c>
      <c r="C16" s="13" t="s">
        <v>26</v>
      </c>
      <c r="D16" s="7">
        <v>0.52</v>
      </c>
      <c r="E16" s="7">
        <v>3370</v>
      </c>
      <c r="F16" s="14" t="s">
        <v>55</v>
      </c>
      <c r="G16" s="14">
        <v>12</v>
      </c>
      <c r="H16" s="32">
        <f t="shared" si="0"/>
        <v>1752.4</v>
      </c>
      <c r="I16" s="25">
        <f t="shared" si="1"/>
        <v>21028.800000000003</v>
      </c>
      <c r="J16" s="72">
        <f t="shared" si="3"/>
        <v>0.52000000000000013</v>
      </c>
      <c r="K16" s="13"/>
      <c r="L16" s="38"/>
      <c r="M16" s="88"/>
      <c r="N16" s="82">
        <f t="shared" si="4"/>
        <v>0.69099968071680018</v>
      </c>
    </row>
    <row r="17" spans="1:15" ht="33" customHeight="1">
      <c r="A17" s="13">
        <f t="shared" si="2"/>
        <v>10</v>
      </c>
      <c r="B17" s="68" t="s">
        <v>42</v>
      </c>
      <c r="C17" s="13" t="s">
        <v>43</v>
      </c>
      <c r="D17" s="7">
        <v>0.44</v>
      </c>
      <c r="E17" s="7">
        <v>3370</v>
      </c>
      <c r="F17" s="14" t="s">
        <v>55</v>
      </c>
      <c r="G17" s="14">
        <v>12</v>
      </c>
      <c r="H17" s="32">
        <f t="shared" si="0"/>
        <v>1482.8</v>
      </c>
      <c r="I17" s="25">
        <f t="shared" si="1"/>
        <v>17793.599999999999</v>
      </c>
      <c r="J17" s="72">
        <f t="shared" si="3"/>
        <v>0.44</v>
      </c>
      <c r="K17" s="13"/>
      <c r="L17" s="38"/>
      <c r="M17" s="88"/>
      <c r="N17" s="82">
        <f t="shared" si="4"/>
        <v>0.58469203752960008</v>
      </c>
    </row>
    <row r="18" spans="1:15" ht="41.25" customHeight="1">
      <c r="A18" s="13">
        <f t="shared" si="2"/>
        <v>11</v>
      </c>
      <c r="B18" s="68" t="s">
        <v>16</v>
      </c>
      <c r="C18" s="13" t="s">
        <v>4</v>
      </c>
      <c r="D18" s="7">
        <v>0.05</v>
      </c>
      <c r="E18" s="7">
        <v>3370</v>
      </c>
      <c r="F18" s="14" t="s">
        <v>1</v>
      </c>
      <c r="G18" s="14">
        <v>12</v>
      </c>
      <c r="H18" s="32">
        <f t="shared" si="0"/>
        <v>168.5</v>
      </c>
      <c r="I18" s="25">
        <f t="shared" si="1"/>
        <v>2022</v>
      </c>
      <c r="J18" s="72">
        <f t="shared" si="3"/>
        <v>0.05</v>
      </c>
      <c r="K18" s="13"/>
      <c r="L18" s="38"/>
      <c r="M18" s="88"/>
      <c r="N18" s="82">
        <f t="shared" si="4"/>
        <v>6.6442276992000004E-2</v>
      </c>
    </row>
    <row r="19" spans="1:15" ht="100.5" customHeight="1">
      <c r="A19" s="13">
        <f t="shared" si="2"/>
        <v>12</v>
      </c>
      <c r="B19" s="68" t="s">
        <v>17</v>
      </c>
      <c r="C19" s="13" t="s">
        <v>4</v>
      </c>
      <c r="D19" s="7">
        <v>0.08</v>
      </c>
      <c r="E19" s="7">
        <v>3370</v>
      </c>
      <c r="F19" s="14" t="s">
        <v>60</v>
      </c>
      <c r="G19" s="14">
        <v>12</v>
      </c>
      <c r="H19" s="32">
        <f t="shared" si="0"/>
        <v>269.60000000000002</v>
      </c>
      <c r="I19" s="25">
        <f t="shared" si="1"/>
        <v>3235.2000000000003</v>
      </c>
      <c r="J19" s="72">
        <f t="shared" si="3"/>
        <v>0.08</v>
      </c>
      <c r="K19" s="13"/>
      <c r="L19" s="38"/>
      <c r="M19" s="88"/>
      <c r="N19" s="82">
        <f t="shared" si="4"/>
        <v>0.10630764318720001</v>
      </c>
    </row>
    <row r="20" spans="1:15" s="42" customFormat="1" ht="33.75" customHeight="1">
      <c r="A20" s="43">
        <f t="shared" si="2"/>
        <v>13</v>
      </c>
      <c r="B20" s="67" t="s">
        <v>47</v>
      </c>
      <c r="C20" s="43" t="s">
        <v>40</v>
      </c>
      <c r="D20" s="44">
        <v>0.41000000000000003</v>
      </c>
      <c r="E20" s="44">
        <v>3370</v>
      </c>
      <c r="F20" s="45" t="s">
        <v>0</v>
      </c>
      <c r="G20" s="45">
        <v>12</v>
      </c>
      <c r="H20" s="46">
        <f t="shared" si="0"/>
        <v>1381.7</v>
      </c>
      <c r="I20" s="47">
        <f t="shared" si="1"/>
        <v>16580.400000000001</v>
      </c>
      <c r="J20" s="73">
        <f>I20/12/E20</f>
        <v>0.41000000000000003</v>
      </c>
      <c r="K20" s="43">
        <v>16020</v>
      </c>
      <c r="L20" s="48">
        <f>K20/12/E20</f>
        <v>0.39614243323442139</v>
      </c>
      <c r="M20" s="89"/>
      <c r="N20" s="82">
        <f t="shared" si="4"/>
        <v>0.5448266713344001</v>
      </c>
    </row>
    <row r="21" spans="1:15" s="3" customFormat="1" ht="31.5">
      <c r="A21" s="43">
        <f t="shared" si="2"/>
        <v>14</v>
      </c>
      <c r="B21" s="68" t="s">
        <v>50</v>
      </c>
      <c r="C21" s="13" t="s">
        <v>3</v>
      </c>
      <c r="D21" s="7">
        <v>2.57</v>
      </c>
      <c r="E21" s="7">
        <v>3370</v>
      </c>
      <c r="F21" s="14" t="s">
        <v>55</v>
      </c>
      <c r="G21" s="14">
        <v>12</v>
      </c>
      <c r="H21" s="32">
        <f t="shared" si="0"/>
        <v>8660.9</v>
      </c>
      <c r="I21" s="25">
        <f>D21*E21*G21</f>
        <v>103930.79999999999</v>
      </c>
      <c r="J21" s="72">
        <f t="shared" si="3"/>
        <v>2.57</v>
      </c>
      <c r="K21" s="13">
        <v>332.8</v>
      </c>
      <c r="L21" s="39">
        <f>(7211.78+450+42.41)*12</f>
        <v>92450.28</v>
      </c>
      <c r="M21" s="81">
        <f>L21*0.06+L21</f>
        <v>97997.296799999996</v>
      </c>
      <c r="N21" s="82">
        <f t="shared" si="4"/>
        <v>3.4151330373888</v>
      </c>
    </row>
    <row r="22" spans="1:15" s="3" customFormat="1" ht="47.25">
      <c r="A22" s="43">
        <f t="shared" si="2"/>
        <v>15</v>
      </c>
      <c r="B22" s="68" t="s">
        <v>62</v>
      </c>
      <c r="C22" s="13" t="s">
        <v>2</v>
      </c>
      <c r="D22" s="7">
        <v>4.2300000000000004</v>
      </c>
      <c r="E22" s="7">
        <v>3370</v>
      </c>
      <c r="F22" s="14" t="s">
        <v>5</v>
      </c>
      <c r="G22" s="14">
        <v>12</v>
      </c>
      <c r="H22" s="32">
        <f t="shared" si="0"/>
        <v>14255.100000000002</v>
      </c>
      <c r="I22" s="25">
        <f>D22*E22*G22</f>
        <v>171061.2</v>
      </c>
      <c r="J22" s="72">
        <f t="shared" si="3"/>
        <v>4.2300000000000004</v>
      </c>
      <c r="K22" s="13">
        <v>1360</v>
      </c>
      <c r="L22" s="38">
        <f>(9013.757+300+488.82)*12</f>
        <v>117630.924</v>
      </c>
      <c r="M22" s="81">
        <f>L22*0.06+L22</f>
        <v>124688.77944</v>
      </c>
      <c r="N22" s="82">
        <f t="shared" si="4"/>
        <v>5.621016633523201</v>
      </c>
    </row>
    <row r="23" spans="1:15">
      <c r="A23" s="43">
        <f t="shared" si="2"/>
        <v>16</v>
      </c>
      <c r="B23" s="70" t="s">
        <v>18</v>
      </c>
      <c r="C23" s="6" t="s">
        <v>26</v>
      </c>
      <c r="D23" s="7">
        <v>1.25</v>
      </c>
      <c r="E23" s="7">
        <v>3370</v>
      </c>
      <c r="F23" s="14" t="s">
        <v>55</v>
      </c>
      <c r="G23" s="14">
        <v>12</v>
      </c>
      <c r="H23" s="32">
        <f t="shared" si="0"/>
        <v>4212.5</v>
      </c>
      <c r="I23" s="25">
        <f t="shared" si="1"/>
        <v>50550</v>
      </c>
      <c r="J23" s="72">
        <f t="shared" si="3"/>
        <v>1.25</v>
      </c>
      <c r="K23" s="13"/>
      <c r="L23" s="38"/>
      <c r="M23" s="88"/>
      <c r="N23" s="82">
        <f t="shared" si="4"/>
        <v>1.6610569248000002</v>
      </c>
    </row>
    <row r="24" spans="1:15">
      <c r="A24" s="43">
        <f t="shared" si="2"/>
        <v>17</v>
      </c>
      <c r="B24" s="70" t="s">
        <v>19</v>
      </c>
      <c r="C24" s="6" t="s">
        <v>29</v>
      </c>
      <c r="D24" s="7">
        <v>0.13</v>
      </c>
      <c r="E24" s="7">
        <v>3370</v>
      </c>
      <c r="F24" s="14" t="s">
        <v>55</v>
      </c>
      <c r="G24" s="14">
        <v>12</v>
      </c>
      <c r="H24" s="32">
        <f t="shared" si="0"/>
        <v>438.1</v>
      </c>
      <c r="I24" s="25">
        <f t="shared" si="1"/>
        <v>5257.2000000000007</v>
      </c>
      <c r="J24" s="72">
        <f t="shared" si="3"/>
        <v>0.13000000000000003</v>
      </c>
      <c r="K24" s="13"/>
      <c r="L24" s="38"/>
      <c r="M24" s="88"/>
      <c r="N24" s="82">
        <f t="shared" si="4"/>
        <v>0.17274992017920004</v>
      </c>
    </row>
    <row r="25" spans="1:15" ht="48.75" customHeight="1">
      <c r="A25" s="43">
        <f t="shared" si="2"/>
        <v>18</v>
      </c>
      <c r="B25" s="71" t="s">
        <v>20</v>
      </c>
      <c r="C25" s="5" t="s">
        <v>26</v>
      </c>
      <c r="D25" s="7">
        <v>1.27</v>
      </c>
      <c r="E25" s="7">
        <v>3370</v>
      </c>
      <c r="F25" s="14" t="s">
        <v>55</v>
      </c>
      <c r="G25" s="14">
        <v>12</v>
      </c>
      <c r="H25" s="32">
        <f t="shared" si="0"/>
        <v>4279.8999999999996</v>
      </c>
      <c r="I25" s="25">
        <f t="shared" si="1"/>
        <v>51358.799999999996</v>
      </c>
      <c r="J25" s="72">
        <f t="shared" si="3"/>
        <v>1.2699999999999998</v>
      </c>
      <c r="K25" s="13"/>
      <c r="L25" s="38"/>
      <c r="M25" s="88"/>
      <c r="N25" s="82">
        <f t="shared" si="4"/>
        <v>1.6876338355967997</v>
      </c>
    </row>
    <row r="26" spans="1:15" s="52" customFormat="1">
      <c r="A26" s="103" t="s">
        <v>58</v>
      </c>
      <c r="B26" s="106"/>
      <c r="C26" s="103"/>
      <c r="D26" s="103"/>
      <c r="E26" s="103"/>
      <c r="F26" s="103"/>
      <c r="G26" s="58"/>
      <c r="H26" s="58">
        <f>SUM(H8:H25)</f>
        <v>41114</v>
      </c>
      <c r="I26" s="58">
        <f>SUM(I8:I25)</f>
        <v>493368</v>
      </c>
      <c r="J26" s="62">
        <f>SUM(J8:J25)</f>
        <v>12.200000000000001</v>
      </c>
      <c r="K26" s="62">
        <f t="shared" ref="K26:M26" si="5">SUM(K8:K25)</f>
        <v>17712.8</v>
      </c>
      <c r="L26" s="62">
        <f t="shared" si="5"/>
        <v>210081.60014243325</v>
      </c>
      <c r="M26" s="90">
        <f t="shared" si="5"/>
        <v>222686.07623999999</v>
      </c>
      <c r="N26" s="62">
        <f>SUM(N8:N25)</f>
        <v>16.211915586048001</v>
      </c>
      <c r="O26" s="53"/>
    </row>
    <row r="27" spans="1:15" s="42" customFormat="1">
      <c r="A27" s="107" t="s">
        <v>6</v>
      </c>
      <c r="B27" s="107"/>
      <c r="C27" s="107"/>
      <c r="D27" s="107"/>
      <c r="E27" s="107"/>
      <c r="F27" s="107"/>
      <c r="G27" s="107"/>
      <c r="H27" s="107"/>
      <c r="I27" s="107"/>
      <c r="J27" s="78"/>
      <c r="K27" s="41"/>
      <c r="L27" s="41"/>
      <c r="M27" s="89"/>
      <c r="N27" s="83"/>
    </row>
    <row r="28" spans="1:15" s="42" customFormat="1" ht="56.25" customHeight="1">
      <c r="A28" s="43" t="s">
        <v>21</v>
      </c>
      <c r="B28" s="43" t="s">
        <v>22</v>
      </c>
      <c r="C28" s="43" t="s">
        <v>61</v>
      </c>
      <c r="D28" s="43" t="s">
        <v>23</v>
      </c>
      <c r="E28" s="43" t="s">
        <v>24</v>
      </c>
      <c r="F28" s="45" t="s">
        <v>54</v>
      </c>
      <c r="G28" s="45"/>
      <c r="H28" s="54" t="s">
        <v>32</v>
      </c>
      <c r="I28" s="47" t="s">
        <v>25</v>
      </c>
      <c r="J28" s="54" t="s">
        <v>41</v>
      </c>
      <c r="K28" s="43"/>
      <c r="L28" s="55"/>
      <c r="M28" s="89"/>
      <c r="N28" s="31" t="s">
        <v>41</v>
      </c>
    </row>
    <row r="29" spans="1:15" s="42" customFormat="1" ht="28.15" customHeight="1">
      <c r="A29" s="43">
        <v>1</v>
      </c>
      <c r="B29" s="67" t="s">
        <v>6</v>
      </c>
      <c r="C29" s="56"/>
      <c r="D29" s="44">
        <v>0.82</v>
      </c>
      <c r="E29" s="43">
        <v>3370</v>
      </c>
      <c r="F29" s="45" t="s">
        <v>31</v>
      </c>
      <c r="G29" s="45">
        <v>12</v>
      </c>
      <c r="H29" s="46"/>
      <c r="I29" s="47">
        <f>D29*E29*G29</f>
        <v>33160.799999999996</v>
      </c>
      <c r="J29" s="73">
        <f>I29/G29/E29</f>
        <v>0.81999999999999984</v>
      </c>
      <c r="K29" s="43"/>
      <c r="L29" s="55"/>
      <c r="M29" s="89"/>
      <c r="N29" s="83">
        <f>J29*1.04*1.092*1.072*1.0915</f>
        <v>1.0896533426687998</v>
      </c>
    </row>
    <row r="30" spans="1:15" s="42" customFormat="1" ht="36.6" customHeight="1">
      <c r="A30" s="43">
        <v>2</v>
      </c>
      <c r="B30" s="67" t="s">
        <v>9</v>
      </c>
      <c r="C30" s="43" t="s">
        <v>8</v>
      </c>
      <c r="D30" s="98">
        <f>15.97*1.072*1.083</f>
        <v>18.54078672</v>
      </c>
      <c r="E30" s="44">
        <v>1200</v>
      </c>
      <c r="F30" s="45" t="s">
        <v>31</v>
      </c>
      <c r="G30" s="45">
        <v>1</v>
      </c>
      <c r="H30" s="46">
        <f>D30*E30</f>
        <v>22248.944063999999</v>
      </c>
      <c r="I30" s="47">
        <f>H30*G30</f>
        <v>22248.944063999999</v>
      </c>
      <c r="J30" s="73">
        <f>I30/12/D5</f>
        <v>0.55017171275964383</v>
      </c>
      <c r="K30" s="43"/>
      <c r="L30" s="55">
        <f>I30*1.04</f>
        <v>23138.901826559999</v>
      </c>
      <c r="M30" s="89">
        <f>L30/12</f>
        <v>1928.24181888</v>
      </c>
      <c r="N30" s="83">
        <f>D30*E30/12/E29</f>
        <v>0.55017171275964383</v>
      </c>
    </row>
    <row r="31" spans="1:15" s="42" customFormat="1" ht="34.5" customHeight="1">
      <c r="A31" s="43">
        <f>A30+1</f>
        <v>3</v>
      </c>
      <c r="B31" s="67" t="s">
        <v>10</v>
      </c>
      <c r="C31" s="43" t="s">
        <v>8</v>
      </c>
      <c r="D31" s="98">
        <f>11.52*1.072*1.083</f>
        <v>13.37444352</v>
      </c>
      <c r="E31" s="44">
        <v>1200</v>
      </c>
      <c r="F31" s="45" t="s">
        <v>31</v>
      </c>
      <c r="G31" s="45">
        <v>1</v>
      </c>
      <c r="H31" s="46">
        <f>D31*E31</f>
        <v>16049.332224</v>
      </c>
      <c r="I31" s="47">
        <f>H31*G31</f>
        <v>16049.332224</v>
      </c>
      <c r="J31" s="73">
        <f>I31/12/D5</f>
        <v>0.39686776023738873</v>
      </c>
      <c r="K31" s="43"/>
      <c r="L31" s="55">
        <f>I31*1.04</f>
        <v>16691.30551296</v>
      </c>
      <c r="M31" s="89">
        <f>D31*1.04</f>
        <v>13.9094212608</v>
      </c>
      <c r="N31" s="83">
        <f>D31*E31/12/E29</f>
        <v>0.39686776023738873</v>
      </c>
    </row>
    <row r="32" spans="1:15" s="57" customFormat="1">
      <c r="A32" s="102" t="s">
        <v>58</v>
      </c>
      <c r="B32" s="102"/>
      <c r="C32" s="102"/>
      <c r="D32" s="102"/>
      <c r="E32" s="102"/>
      <c r="F32" s="102"/>
      <c r="G32" s="59"/>
      <c r="H32" s="60"/>
      <c r="I32" s="61">
        <f>I29+I30+I31</f>
        <v>71459.076287999997</v>
      </c>
      <c r="J32" s="74">
        <f>SUM(J29:J31)</f>
        <v>1.7670394729970325</v>
      </c>
      <c r="K32" s="74">
        <f t="shared" ref="K32:L32" si="6">SUM(K29:K31)</f>
        <v>0</v>
      </c>
      <c r="L32" s="74">
        <f t="shared" si="6"/>
        <v>39830.207339519999</v>
      </c>
      <c r="M32" s="91">
        <f>SUM(M29:M31)</f>
        <v>1942.1512401407999</v>
      </c>
      <c r="N32" s="74">
        <f>SUM(N29:N31)</f>
        <v>2.0366928156658326</v>
      </c>
    </row>
    <row r="33" spans="1:14" s="52" customFormat="1">
      <c r="A33" s="103" t="s">
        <v>57</v>
      </c>
      <c r="B33" s="103"/>
      <c r="C33" s="103"/>
      <c r="D33" s="103"/>
      <c r="E33" s="103"/>
      <c r="F33" s="103"/>
      <c r="G33" s="58">
        <f>I33/12/E29</f>
        <v>13.967039472997032</v>
      </c>
      <c r="H33" s="58"/>
      <c r="I33" s="62">
        <f>I26+I32</f>
        <v>564827.07628799998</v>
      </c>
      <c r="J33" s="75">
        <f>J26+J32</f>
        <v>13.967039472997033</v>
      </c>
      <c r="K33" s="75">
        <f t="shared" ref="K33:N33" si="7">K26+K32</f>
        <v>17712.8</v>
      </c>
      <c r="L33" s="75">
        <f t="shared" si="7"/>
        <v>249911.80748195323</v>
      </c>
      <c r="M33" s="92">
        <f t="shared" si="7"/>
        <v>224628.22748014081</v>
      </c>
      <c r="N33" s="75">
        <f t="shared" si="7"/>
        <v>18.248608401713835</v>
      </c>
    </row>
    <row r="34" spans="1:14" s="52" customFormat="1">
      <c r="A34" s="108" t="s">
        <v>59</v>
      </c>
      <c r="B34" s="109"/>
      <c r="C34" s="109"/>
      <c r="D34" s="109"/>
      <c r="E34" s="109"/>
      <c r="F34" s="110"/>
      <c r="G34" s="63"/>
      <c r="H34" s="63"/>
      <c r="I34" s="64"/>
      <c r="J34" s="79"/>
      <c r="K34" s="50"/>
      <c r="L34" s="51"/>
      <c r="M34" s="93"/>
      <c r="N34" s="84"/>
    </row>
    <row r="35" spans="1:14" s="24" customFormat="1" ht="63">
      <c r="A35" s="43">
        <v>1</v>
      </c>
      <c r="B35" s="49" t="s">
        <v>65</v>
      </c>
      <c r="C35" s="22" t="s">
        <v>26</v>
      </c>
      <c r="D35" s="23">
        <v>1.26</v>
      </c>
      <c r="E35" s="7">
        <v>3370</v>
      </c>
      <c r="F35" s="76" t="s">
        <v>7</v>
      </c>
      <c r="G35" s="14">
        <v>12</v>
      </c>
      <c r="H35" s="32">
        <f>D35*E35</f>
        <v>4246.2</v>
      </c>
      <c r="I35" s="25">
        <f>H35*G35</f>
        <v>50954.399999999994</v>
      </c>
      <c r="J35" s="72">
        <f>I35/12/E35</f>
        <v>1.26</v>
      </c>
      <c r="K35" s="21"/>
      <c r="L35" s="40"/>
      <c r="M35" s="94"/>
      <c r="N35" s="85">
        <v>1.55</v>
      </c>
    </row>
    <row r="36" spans="1:14" ht="26.25" customHeight="1">
      <c r="A36" s="111" t="s">
        <v>63</v>
      </c>
      <c r="B36" s="102"/>
      <c r="C36" s="102"/>
      <c r="D36" s="102"/>
      <c r="E36" s="102"/>
      <c r="F36" s="112"/>
      <c r="G36" s="65">
        <f>G33+D35</f>
        <v>15.227039472997031</v>
      </c>
      <c r="H36" s="66"/>
      <c r="I36" s="66"/>
      <c r="J36" s="65">
        <f>J35+J33</f>
        <v>15.227039472997033</v>
      </c>
      <c r="K36" s="65">
        <f t="shared" ref="K36:N36" si="8">K35+K33</f>
        <v>17712.8</v>
      </c>
      <c r="L36" s="65">
        <f t="shared" si="8"/>
        <v>249911.80748195323</v>
      </c>
      <c r="M36" s="95">
        <f t="shared" si="8"/>
        <v>224628.22748014081</v>
      </c>
      <c r="N36" s="65">
        <f t="shared" si="8"/>
        <v>19.798608401713835</v>
      </c>
    </row>
    <row r="37" spans="1:14" ht="18" customHeight="1">
      <c r="A37" s="15" t="s">
        <v>30</v>
      </c>
      <c r="B37" s="104" t="s">
        <v>56</v>
      </c>
      <c r="C37" s="104"/>
      <c r="D37" s="104"/>
      <c r="E37" s="104"/>
      <c r="F37" s="104"/>
      <c r="G37" s="104"/>
      <c r="H37" s="104"/>
      <c r="I37" s="104"/>
      <c r="K37" s="15"/>
      <c r="L37" s="15"/>
    </row>
    <row r="38" spans="1:14">
      <c r="A38" s="16"/>
      <c r="B38" s="104"/>
      <c r="C38" s="104"/>
      <c r="D38" s="104"/>
      <c r="E38" s="104"/>
      <c r="F38" s="104"/>
      <c r="G38" s="104"/>
      <c r="H38" s="104"/>
      <c r="I38" s="104"/>
      <c r="K38" s="16"/>
      <c r="L38" s="34">
        <f>13.9-J33</f>
        <v>-6.7039472997032945E-2</v>
      </c>
    </row>
    <row r="39" spans="1:14" ht="30.75" customHeight="1">
      <c r="A39" s="16"/>
      <c r="B39" s="104"/>
      <c r="C39" s="104"/>
      <c r="D39" s="104"/>
      <c r="E39" s="104"/>
      <c r="F39" s="104"/>
      <c r="G39" s="104"/>
      <c r="H39" s="104"/>
      <c r="I39" s="104"/>
      <c r="K39" s="16"/>
      <c r="L39" s="16">
        <f>L38*E29</f>
        <v>-225.92302400000102</v>
      </c>
    </row>
    <row r="40" spans="1:14">
      <c r="A40" s="16"/>
      <c r="B40" s="16"/>
      <c r="C40" s="16"/>
      <c r="D40" s="16"/>
      <c r="E40" s="16"/>
      <c r="F40" s="17"/>
      <c r="G40" s="17"/>
      <c r="H40" s="33"/>
      <c r="I40" s="34"/>
      <c r="K40" s="16"/>
      <c r="L40" s="16"/>
    </row>
    <row r="41" spans="1:14" s="4" customFormat="1">
      <c r="A41" s="18"/>
      <c r="B41" s="19"/>
      <c r="C41" s="18"/>
      <c r="D41" s="19"/>
      <c r="F41" s="20"/>
      <c r="G41" s="20"/>
      <c r="H41" s="35"/>
      <c r="I41" s="36"/>
      <c r="J41" s="80"/>
      <c r="K41" s="18"/>
      <c r="L41" s="18"/>
      <c r="M41" s="96"/>
    </row>
    <row r="42" spans="1:14" s="4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80"/>
      <c r="K42" s="18"/>
      <c r="L42" s="18"/>
      <c r="M42" s="96"/>
    </row>
  </sheetData>
  <mergeCells count="10">
    <mergeCell ref="K6:M6"/>
    <mergeCell ref="A3:I4"/>
    <mergeCell ref="A32:F32"/>
    <mergeCell ref="A33:F33"/>
    <mergeCell ref="B37:I39"/>
    <mergeCell ref="A6:I6"/>
    <mergeCell ref="A26:F26"/>
    <mergeCell ref="A27:I27"/>
    <mergeCell ref="A34:F34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2025-02-03T11:50:07Z</cp:lastPrinted>
  <dcterms:created xsi:type="dcterms:W3CDTF">1996-10-08T23:32:33Z</dcterms:created>
  <dcterms:modified xsi:type="dcterms:W3CDTF">2025-02-03T11:50:10Z</dcterms:modified>
</cp:coreProperties>
</file>