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240" yWindow="105" windowWidth="14805" windowHeight="8010"/>
  </bookViews>
  <sheets>
    <sheet name="Лист1" sheetId="1" r:id="rId1"/>
    <sheet name="Лист2" sheetId="2" r:id="rId2"/>
  </sheets>
  <calcPr calcId="125725"/>
</workbook>
</file>

<file path=xl/calcChain.xml><?xml version="1.0" encoding="utf-8"?>
<calcChain xmlns="http://schemas.openxmlformats.org/spreadsheetml/2006/main">
  <c r="N27" i="1"/>
  <c r="N33"/>
  <c r="D32"/>
  <c r="N32" s="1"/>
  <c r="D31"/>
  <c r="N25"/>
  <c r="N26"/>
  <c r="N24"/>
  <c r="D23"/>
  <c r="N9"/>
  <c r="N10"/>
  <c r="N11"/>
  <c r="N12"/>
  <c r="N13"/>
  <c r="N14"/>
  <c r="N15"/>
  <c r="N16"/>
  <c r="N17"/>
  <c r="N18"/>
  <c r="N19"/>
  <c r="N21"/>
  <c r="N22"/>
  <c r="N8"/>
  <c r="N31"/>
  <c r="N23"/>
  <c r="E5"/>
  <c r="K33" l="1"/>
  <c r="L33"/>
  <c r="M33"/>
  <c r="K27"/>
  <c r="K34" s="1"/>
  <c r="K37" s="1"/>
  <c r="D29" i="2"/>
  <c r="C29"/>
  <c r="A5"/>
  <c r="A6" s="1"/>
  <c r="A7" s="1"/>
  <c r="A8" s="1"/>
  <c r="A9" s="1"/>
  <c r="A10" s="1"/>
  <c r="A11" s="1"/>
  <c r="A12" s="1"/>
  <c r="A13" s="1"/>
  <c r="A14" s="1"/>
  <c r="A15" s="1"/>
  <c r="A16" s="1"/>
  <c r="A17" s="1"/>
  <c r="A18" s="1"/>
  <c r="A19" s="1"/>
  <c r="A20" s="1"/>
  <c r="A21" s="1"/>
  <c r="A22" s="1"/>
  <c r="A23" s="1"/>
  <c r="A24" s="1"/>
  <c r="A25" s="1"/>
  <c r="A26" s="1"/>
  <c r="A27" s="1"/>
  <c r="A28" s="1"/>
  <c r="H20" i="1"/>
  <c r="I20" s="1"/>
  <c r="J20" s="1"/>
  <c r="H21"/>
  <c r="I21"/>
  <c r="J21" s="1"/>
  <c r="H22"/>
  <c r="I22" s="1"/>
  <c r="J22" s="1"/>
  <c r="L22"/>
  <c r="M22" s="1"/>
  <c r="L21"/>
  <c r="M21" s="1"/>
  <c r="L20"/>
  <c r="L27" s="1"/>
  <c r="L34" s="1"/>
  <c r="L37" s="1"/>
  <c r="H36"/>
  <c r="I36" s="1"/>
  <c r="I30"/>
  <c r="J30" s="1"/>
  <c r="A9"/>
  <c r="A10" s="1"/>
  <c r="A11" s="1"/>
  <c r="A12" s="1"/>
  <c r="A13" s="1"/>
  <c r="A14" s="1"/>
  <c r="A15" s="1"/>
  <c r="A16" s="1"/>
  <c r="A17" s="1"/>
  <c r="A18" s="1"/>
  <c r="A19" s="1"/>
  <c r="A20" s="1"/>
  <c r="A21" s="1"/>
  <c r="A22" s="1"/>
  <c r="A23" s="1"/>
  <c r="A24" s="1"/>
  <c r="A25" s="1"/>
  <c r="A26" s="1"/>
  <c r="H32"/>
  <c r="I32" s="1"/>
  <c r="J32" s="1"/>
  <c r="A32"/>
  <c r="H31"/>
  <c r="I31" s="1"/>
  <c r="J31" s="1"/>
  <c r="H8"/>
  <c r="H9"/>
  <c r="I9" s="1"/>
  <c r="H10"/>
  <c r="I10"/>
  <c r="H11"/>
  <c r="I11"/>
  <c r="J11" s="1"/>
  <c r="H12"/>
  <c r="I12" s="1"/>
  <c r="J12" s="1"/>
  <c r="H13"/>
  <c r="I13" s="1"/>
  <c r="J13" s="1"/>
  <c r="H14"/>
  <c r="I14" s="1"/>
  <c r="J14" s="1"/>
  <c r="H15"/>
  <c r="I15"/>
  <c r="J15" s="1"/>
  <c r="H16"/>
  <c r="I16" s="1"/>
  <c r="J16" s="1"/>
  <c r="H17"/>
  <c r="I17" s="1"/>
  <c r="J17" s="1"/>
  <c r="H18"/>
  <c r="I18" s="1"/>
  <c r="J18" s="1"/>
  <c r="H19"/>
  <c r="I19"/>
  <c r="J19" s="1"/>
  <c r="H23"/>
  <c r="I23" s="1"/>
  <c r="J23" s="1"/>
  <c r="H24"/>
  <c r="I24" s="1"/>
  <c r="J24" s="1"/>
  <c r="H25"/>
  <c r="I25" s="1"/>
  <c r="J25" s="1"/>
  <c r="H26"/>
  <c r="I26"/>
  <c r="J26" s="1"/>
  <c r="C30" i="2"/>
  <c r="I8" i="1"/>
  <c r="J8" s="1"/>
  <c r="J10"/>
  <c r="M27" l="1"/>
  <c r="M34" s="1"/>
  <c r="M37" s="1"/>
  <c r="I33"/>
  <c r="J33"/>
  <c r="J9"/>
  <c r="I27"/>
  <c r="I34" s="1"/>
  <c r="G34" s="1"/>
  <c r="G37" s="1"/>
  <c r="H27"/>
  <c r="J36"/>
  <c r="J27" l="1"/>
  <c r="J34" s="1"/>
  <c r="J37" s="1"/>
  <c r="N34"/>
  <c r="N37" s="1"/>
  <c r="I37"/>
</calcChain>
</file>

<file path=xl/sharedStrings.xml><?xml version="1.0" encoding="utf-8"?>
<sst xmlns="http://schemas.openxmlformats.org/spreadsheetml/2006/main" count="138" uniqueCount="81">
  <si>
    <t>более 5 эт.</t>
  </si>
  <si>
    <t>Приложение № ___  к договору управления МКД</t>
  </si>
  <si>
    <t xml:space="preserve"> Площадь МКД</t>
  </si>
  <si>
    <t>Содержание общего имущества и управление МКД</t>
  </si>
  <si>
    <t>№</t>
  </si>
  <si>
    <t>Наименование работы</t>
  </si>
  <si>
    <t>ед.изм.</t>
  </si>
  <si>
    <t>цена (руб.)</t>
  </si>
  <si>
    <t>объем</t>
  </si>
  <si>
    <t>Итого стоимость в руб. в год</t>
  </si>
  <si>
    <t>Итого стоимость в месяц, руб.</t>
  </si>
  <si>
    <t>Гидравлические испытания системы отопления</t>
  </si>
  <si>
    <t>1 метр трубопровода</t>
  </si>
  <si>
    <t>Промывка системы отопления</t>
  </si>
  <si>
    <t>Техническое обслуживание инженерных сетей входящих в состав общего имущества многоквартирных жилых домов</t>
  </si>
  <si>
    <t>1 кв.м.общ.пл.</t>
  </si>
  <si>
    <t>Согласно правилам и нормам обслуживания жилого фонда</t>
  </si>
  <si>
    <t>1 кв.м кровли( ст-ть пересчитана на 1 кв.м. об.пл.)</t>
  </si>
  <si>
    <t>Техническое обслуживание мягкой кровли</t>
  </si>
  <si>
    <t>Техническое обслуживание ГЩВУ (ВРУ)</t>
  </si>
  <si>
    <t>1 ВРУ  ( ст-ть пересчитана на 1 кв.м. об.пл.)</t>
  </si>
  <si>
    <t>Техническое обслуживание системы освещения общего имущества</t>
  </si>
  <si>
    <t>1 кв.м площади вспомогательных помещений ( ст-ть пересчитана на 1 кв.м. об.пл.)</t>
  </si>
  <si>
    <t>1 раз в год</t>
  </si>
  <si>
    <t xml:space="preserve">Техническое обслуживание электрических сетей и их оборудования на лестничных клетках </t>
  </si>
  <si>
    <t>1 кв.м лестничных клеток ( ст-ть пересчитана на 1 кв.м. об.пл.)</t>
  </si>
  <si>
    <t>ежемесячно</t>
  </si>
  <si>
    <t>1 кв.м.общей площади</t>
  </si>
  <si>
    <t>Осмотр наружных конструкций панельного дома</t>
  </si>
  <si>
    <t>дежурство слесарей, электриков</t>
  </si>
  <si>
    <t>Дератизация, дезинсекция</t>
  </si>
  <si>
    <t>4 раза в год</t>
  </si>
  <si>
    <t>Проверка дымоходов и вентканалов</t>
  </si>
  <si>
    <t>Техническое обслуживание внутридомового газового оборудования</t>
  </si>
  <si>
    <t xml:space="preserve">1 кв.м.общ.пл. </t>
  </si>
  <si>
    <t>1 кв.м лестничных клеток</t>
  </si>
  <si>
    <t>1 кв.м асфальта</t>
  </si>
  <si>
    <t>1 раз в  2 суток</t>
  </si>
  <si>
    <t>Содержание, техническое обслуживание и ремонт лифтов</t>
  </si>
  <si>
    <t>1 лифт</t>
  </si>
  <si>
    <t>Услуга по управлению</t>
  </si>
  <si>
    <t>Услуги паспортной службы</t>
  </si>
  <si>
    <t>1 кв.м.общ.жил.пл.</t>
  </si>
  <si>
    <t>Услуги по начислению и сбору платежей, работе с неплательщиками</t>
  </si>
  <si>
    <t>Текущий ремонт</t>
  </si>
  <si>
    <t>по графику</t>
  </si>
  <si>
    <t>Стоимость на 1 кв м об пл</t>
  </si>
  <si>
    <t>площадь ИО</t>
  </si>
  <si>
    <t>удалить при печати</t>
  </si>
  <si>
    <t>г. Рязань ул. Новаторов д. 5</t>
  </si>
  <si>
    <t xml:space="preserve">Уборка лестничных площадок и маршей </t>
  </si>
  <si>
    <t xml:space="preserve">Подметание прилегающей территории </t>
  </si>
  <si>
    <t>Осмотр технических этажей, чердаков и подвальных помещений</t>
  </si>
  <si>
    <t>Осмотр мест общего пользования</t>
  </si>
  <si>
    <t>Аварийное обслуживание, непредвиденные работы</t>
  </si>
  <si>
    <t>постоянно</t>
  </si>
  <si>
    <t>Периодичность</t>
  </si>
  <si>
    <t>Итого:</t>
  </si>
  <si>
    <t>КРСОИ</t>
  </si>
  <si>
    <t>Тариф на 1м2/мес. в руб. без КРСОИ</t>
  </si>
  <si>
    <t>3 раза в год-вентканалы в МКД с газовыми приборами, раз в год-в МКД с электроплитами</t>
  </si>
  <si>
    <t>Информация об исключении из платы за содержание жилого помещения стоимости услуг по сбору, вывозу, утилизации ТКО</t>
  </si>
  <si>
    <t>многоквартирный дом</t>
  </si>
  <si>
    <t>Структура платы за содержание жилого помещения</t>
  </si>
  <si>
    <t>Размер платы за содержание жилогопомещения до исключения стоимости услуг по сбору, вывозу, утилизации ТКО (руб/м2)</t>
  </si>
  <si>
    <t>Размер платы за содержание жилогопомещения после исключения стоимости услуг по сбору, вывозу, утилизации ТКО (руб/м2)</t>
  </si>
  <si>
    <t>Дежурство слесарей, электриков</t>
  </si>
  <si>
    <t>Сбор, вывоз и утилизация ТКО</t>
  </si>
  <si>
    <t>Вывоз древесных отходов</t>
  </si>
  <si>
    <t xml:space="preserve">Стоимость утилизации (захоронения) древесных отходов </t>
  </si>
  <si>
    <t>Всего</t>
  </si>
  <si>
    <t>Величина стоимости услуг по сбору, вывозу, утилизации ТКО, которая исключена из платы за содержание жилого помешения</t>
  </si>
  <si>
    <t>ул. Новаторов д. 5</t>
  </si>
  <si>
    <t>Заместитель директора</t>
  </si>
  <si>
    <t>Сучкова Н.С.</t>
  </si>
  <si>
    <t>Уборка контейнерной площадки, подъездных путей и прилегающей территории</t>
  </si>
  <si>
    <t>Содержание и оборудование контейнерной площадки, подъездных путей и прилегающей территории</t>
  </si>
  <si>
    <t>Подметание прилегающей территории , Содержание и уборка контейнерных площадок</t>
  </si>
  <si>
    <t xml:space="preserve">Тариф с КРСОИ  </t>
  </si>
  <si>
    <t>Коммунальные ресурсы потребляемые в целях содержания общего имущества в многоквартирном доме (КРСОИ) с 01.01.2026</t>
  </si>
  <si>
    <t>Расчет платы за услуги (работы)  по содержанию,управлению и текущему ремонту  общего имущества многоквартирного дома с 05.02.2026 г. (Перечень и стоимость работ по содержанию, управлению и текущему ремонту общего имущества МКД)</t>
  </si>
</sst>
</file>

<file path=xl/styles.xml><?xml version="1.0" encoding="utf-8"?>
<styleSheet xmlns="http://schemas.openxmlformats.org/spreadsheetml/2006/main">
  <numFmts count="1">
    <numFmt numFmtId="164" formatCode="0.00;[Red]0.00"/>
  </numFmts>
  <fonts count="13">
    <font>
      <sz val="11"/>
      <color theme="1"/>
      <name val="Calibri"/>
      <family val="2"/>
      <scheme val="minor"/>
    </font>
    <font>
      <b/>
      <sz val="12"/>
      <name val="Cambria"/>
      <family val="1"/>
      <charset val="204"/>
    </font>
    <font>
      <sz val="12"/>
      <name val="Cambria"/>
      <family val="1"/>
      <charset val="204"/>
    </font>
    <font>
      <b/>
      <sz val="12"/>
      <name val="Cambria"/>
      <family val="1"/>
      <charset val="204"/>
    </font>
    <font>
      <sz val="12"/>
      <name val="Times New Roman"/>
      <family val="1"/>
      <charset val="204"/>
    </font>
    <font>
      <sz val="12"/>
      <name val="Cambria"/>
      <family val="1"/>
      <charset val="204"/>
      <scheme val="major"/>
    </font>
    <font>
      <b/>
      <sz val="12"/>
      <name val="Cambria"/>
      <family val="1"/>
      <charset val="204"/>
      <scheme val="major"/>
    </font>
    <font>
      <b/>
      <sz val="12"/>
      <color theme="1"/>
      <name val="Cambria"/>
      <family val="1"/>
      <charset val="204"/>
      <scheme val="major"/>
    </font>
    <font>
      <sz val="12"/>
      <color theme="1"/>
      <name val="Cambria"/>
      <family val="1"/>
      <charset val="204"/>
      <scheme val="major"/>
    </font>
    <font>
      <b/>
      <i/>
      <sz val="12"/>
      <color rgb="FFFF0000"/>
      <name val="Cambria"/>
      <family val="1"/>
      <charset val="204"/>
      <scheme val="major"/>
    </font>
    <font>
      <sz val="12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b/>
      <i/>
      <sz val="12"/>
      <color theme="1"/>
      <name val="Cambria"/>
      <family val="1"/>
      <charset val="204"/>
      <scheme val="maj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0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116">
    <xf numFmtId="0" fontId="0" fillId="0" borderId="0" xfId="0"/>
    <xf numFmtId="0" fontId="5" fillId="0" borderId="0" xfId="0" applyFont="1"/>
    <xf numFmtId="0" fontId="6" fillId="0" borderId="0" xfId="0" applyFont="1" applyFill="1" applyAlignment="1">
      <alignment horizontal="right"/>
    </xf>
    <xf numFmtId="0" fontId="5" fillId="2" borderId="0" xfId="0" applyFont="1" applyFill="1"/>
    <xf numFmtId="0" fontId="7" fillId="0" borderId="0" xfId="0" applyFont="1" applyBorder="1" applyAlignment="1">
      <alignment horizontal="center" vertical="center" wrapText="1"/>
    </xf>
    <xf numFmtId="2" fontId="7" fillId="0" borderId="0" xfId="0" applyNumberFormat="1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vertical="center" wrapText="1"/>
    </xf>
    <xf numFmtId="2" fontId="7" fillId="0" borderId="0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justify" vertical="center" wrapText="1"/>
    </xf>
    <xf numFmtId="2" fontId="5" fillId="0" borderId="1" xfId="0" applyNumberFormat="1" applyFont="1" applyBorder="1" applyAlignment="1">
      <alignment horizontal="center" vertical="center" wrapText="1"/>
    </xf>
    <xf numFmtId="4" fontId="5" fillId="0" borderId="1" xfId="0" applyNumberFormat="1" applyFont="1" applyFill="1" applyBorder="1" applyAlignment="1">
      <alignment horizontal="center" vertical="center" wrapText="1"/>
    </xf>
    <xf numFmtId="2" fontId="5" fillId="0" borderId="1" xfId="0" applyNumberFormat="1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justify" wrapText="1"/>
    </xf>
    <xf numFmtId="0" fontId="5" fillId="0" borderId="1" xfId="0" applyFont="1" applyBorder="1" applyAlignment="1">
      <alignment horizontal="center" vertical="center"/>
    </xf>
    <xf numFmtId="2" fontId="5" fillId="2" borderId="1" xfId="0" applyNumberFormat="1" applyFont="1" applyFill="1" applyBorder="1" applyAlignment="1">
      <alignment horizontal="center" vertical="center"/>
    </xf>
    <xf numFmtId="2" fontId="5" fillId="2" borderId="1" xfId="0" applyNumberFormat="1" applyFont="1" applyFill="1" applyBorder="1" applyAlignment="1">
      <alignment horizontal="center" vertical="center" wrapText="1"/>
    </xf>
    <xf numFmtId="0" fontId="5" fillId="0" borderId="0" xfId="0" applyFont="1" applyBorder="1" applyAlignment="1"/>
    <xf numFmtId="0" fontId="5" fillId="0" borderId="0" xfId="0" applyFont="1" applyBorder="1" applyAlignment="1">
      <alignment horizontal="center"/>
    </xf>
    <xf numFmtId="0" fontId="5" fillId="0" borderId="0" xfId="0" applyFont="1" applyFill="1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6" fillId="0" borderId="0" xfId="0" applyFont="1" applyBorder="1" applyAlignment="1">
      <alignment horizontal="left"/>
    </xf>
    <xf numFmtId="0" fontId="6" fillId="0" borderId="0" xfId="0" applyFont="1"/>
    <xf numFmtId="0" fontId="6" fillId="0" borderId="0" xfId="0" applyFont="1" applyFill="1" applyBorder="1" applyAlignment="1">
      <alignment horizontal="center"/>
    </xf>
    <xf numFmtId="0" fontId="5" fillId="0" borderId="0" xfId="0" applyFont="1" applyFill="1"/>
    <xf numFmtId="2" fontId="8" fillId="0" borderId="1" xfId="0" applyNumberFormat="1" applyFont="1" applyFill="1" applyBorder="1" applyAlignment="1">
      <alignment horizontal="center" vertical="center" wrapText="1"/>
    </xf>
    <xf numFmtId="0" fontId="5" fillId="0" borderId="0" xfId="0" applyFont="1" applyBorder="1" applyAlignment="1">
      <alignment horizontal="center"/>
    </xf>
    <xf numFmtId="0" fontId="5" fillId="0" borderId="2" xfId="0" applyFont="1" applyFill="1" applyBorder="1" applyAlignment="1">
      <alignment horizontal="center" vertical="center" wrapText="1"/>
    </xf>
    <xf numFmtId="0" fontId="9" fillId="0" borderId="0" xfId="0" applyFont="1" applyFill="1" applyBorder="1" applyAlignment="1">
      <alignment horizontal="left" vertical="center" wrapText="1"/>
    </xf>
    <xf numFmtId="4" fontId="5" fillId="0" borderId="2" xfId="0" applyNumberFormat="1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2" borderId="1" xfId="0" applyFont="1" applyFill="1" applyBorder="1" applyAlignment="1">
      <alignment horizontal="justify" vertical="center" wrapText="1"/>
    </xf>
    <xf numFmtId="2" fontId="5" fillId="0" borderId="0" xfId="0" applyNumberFormat="1" applyFont="1"/>
    <xf numFmtId="0" fontId="5" fillId="0" borderId="0" xfId="0" applyFont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6" fillId="0" borderId="0" xfId="0" applyFont="1" applyAlignment="1">
      <alignment horizontal="center" vertical="center"/>
    </xf>
    <xf numFmtId="4" fontId="7" fillId="0" borderId="0" xfId="0" applyNumberFormat="1" applyFont="1" applyFill="1" applyBorder="1" applyAlignment="1">
      <alignment vertical="center" wrapText="1"/>
    </xf>
    <xf numFmtId="0" fontId="2" fillId="0" borderId="1" xfId="0" applyFont="1" applyBorder="1" applyAlignment="1">
      <alignment horizontal="justify" vertical="center" wrapText="1"/>
    </xf>
    <xf numFmtId="0" fontId="7" fillId="2" borderId="0" xfId="0" applyFont="1" applyFill="1"/>
    <xf numFmtId="0" fontId="5" fillId="2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left" vertical="center" wrapText="1"/>
    </xf>
    <xf numFmtId="3" fontId="5" fillId="2" borderId="1" xfId="0" applyNumberFormat="1" applyFont="1" applyFill="1" applyBorder="1" applyAlignment="1">
      <alignment horizontal="center" vertical="center" wrapText="1"/>
    </xf>
    <xf numFmtId="4" fontId="5" fillId="2" borderId="1" xfId="0" applyNumberFormat="1" applyFont="1" applyFill="1" applyBorder="1" applyAlignment="1">
      <alignment horizontal="center" vertical="center" wrapText="1"/>
    </xf>
    <xf numFmtId="4" fontId="5" fillId="2" borderId="1" xfId="0" applyNumberFormat="1" applyFont="1" applyFill="1" applyBorder="1" applyAlignment="1">
      <alignment horizontal="center" vertical="center"/>
    </xf>
    <xf numFmtId="4" fontId="5" fillId="2" borderId="2" xfId="0" applyNumberFormat="1" applyFont="1" applyFill="1" applyBorder="1" applyAlignment="1">
      <alignment horizontal="center" vertical="center" wrapText="1"/>
    </xf>
    <xf numFmtId="0" fontId="6" fillId="2" borderId="0" xfId="0" applyFont="1" applyFill="1"/>
    <xf numFmtId="2" fontId="7" fillId="3" borderId="2" xfId="0" applyNumberFormat="1" applyFont="1" applyFill="1" applyBorder="1" applyAlignment="1">
      <alignment horizontal="right"/>
    </xf>
    <xf numFmtId="2" fontId="7" fillId="3" borderId="1" xfId="0" applyNumberFormat="1" applyFont="1" applyFill="1" applyBorder="1" applyAlignment="1">
      <alignment horizontal="center"/>
    </xf>
    <xf numFmtId="0" fontId="6" fillId="3" borderId="4" xfId="0" applyFont="1" applyFill="1" applyBorder="1" applyAlignment="1">
      <alignment horizontal="right"/>
    </xf>
    <xf numFmtId="4" fontId="6" fillId="3" borderId="1" xfId="0" applyNumberFormat="1" applyFont="1" applyFill="1" applyBorder="1" applyAlignment="1"/>
    <xf numFmtId="4" fontId="6" fillId="3" borderId="1" xfId="0" applyNumberFormat="1" applyFont="1" applyFill="1" applyBorder="1" applyAlignment="1">
      <alignment horizontal="center" vertical="center"/>
    </xf>
    <xf numFmtId="4" fontId="7" fillId="3" borderId="1" xfId="0" applyNumberFormat="1" applyFont="1" applyFill="1" applyBorder="1" applyAlignment="1">
      <alignment horizontal="center"/>
    </xf>
    <xf numFmtId="4" fontId="7" fillId="3" borderId="1" xfId="0" applyNumberFormat="1" applyFont="1" applyFill="1" applyBorder="1" applyAlignment="1">
      <alignment horizontal="center" vertical="center"/>
    </xf>
    <xf numFmtId="4" fontId="3" fillId="3" borderId="1" xfId="0" applyNumberFormat="1" applyFont="1" applyFill="1" applyBorder="1" applyAlignment="1">
      <alignment horizontal="center"/>
    </xf>
    <xf numFmtId="0" fontId="3" fillId="3" borderId="1" xfId="0" applyFont="1" applyFill="1" applyBorder="1" applyAlignment="1">
      <alignment horizontal="center"/>
    </xf>
    <xf numFmtId="4" fontId="3" fillId="3" borderId="1" xfId="0" applyNumberFormat="1" applyFont="1" applyFill="1" applyBorder="1" applyAlignment="1"/>
    <xf numFmtId="0" fontId="10" fillId="0" borderId="0" xfId="0" applyFont="1" applyAlignment="1">
      <alignment horizontal="center" vertical="center"/>
    </xf>
    <xf numFmtId="0" fontId="10" fillId="0" borderId="0" xfId="0" applyFont="1"/>
    <xf numFmtId="0" fontId="4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justify" vertical="center" wrapText="1"/>
    </xf>
    <xf numFmtId="2" fontId="4" fillId="0" borderId="1" xfId="0" applyNumberFormat="1" applyFont="1" applyBorder="1" applyAlignment="1">
      <alignment vertical="center" wrapText="1"/>
    </xf>
    <xf numFmtId="2" fontId="4" fillId="2" borderId="1" xfId="0" applyNumberFormat="1" applyFont="1" applyFill="1" applyBorder="1" applyAlignment="1">
      <alignment vertical="center" wrapText="1"/>
    </xf>
    <xf numFmtId="0" fontId="5" fillId="0" borderId="0" xfId="0" applyFont="1" applyBorder="1" applyAlignment="1">
      <alignment horizontal="justify" vertical="center" wrapText="1"/>
    </xf>
    <xf numFmtId="2" fontId="2" fillId="0" borderId="1" xfId="0" applyNumberFormat="1" applyFont="1" applyBorder="1" applyAlignment="1">
      <alignment horizontal="right" vertical="center" wrapText="1"/>
    </xf>
    <xf numFmtId="2" fontId="2" fillId="2" borderId="1" xfId="0" applyNumberFormat="1" applyFont="1" applyFill="1" applyBorder="1" applyAlignment="1">
      <alignment horizontal="right" vertical="center" wrapText="1"/>
    </xf>
    <xf numFmtId="0" fontId="10" fillId="0" borderId="0" xfId="0" applyFont="1" applyBorder="1"/>
    <xf numFmtId="0" fontId="2" fillId="0" borderId="0" xfId="0" applyFont="1" applyBorder="1" applyAlignment="1">
      <alignment horizontal="justify" vertical="center" wrapText="1"/>
    </xf>
    <xf numFmtId="0" fontId="4" fillId="2" borderId="1" xfId="0" applyFont="1" applyFill="1" applyBorder="1" applyAlignment="1">
      <alignment horizontal="justify" wrapText="1"/>
    </xf>
    <xf numFmtId="2" fontId="10" fillId="0" borderId="0" xfId="0" applyNumberFormat="1" applyFont="1"/>
    <xf numFmtId="0" fontId="10" fillId="2" borderId="1" xfId="0" applyFont="1" applyFill="1" applyBorder="1" applyAlignment="1">
      <alignment horizontal="center" vertical="center"/>
    </xf>
    <xf numFmtId="0" fontId="10" fillId="2" borderId="1" xfId="0" applyFont="1" applyFill="1" applyBorder="1"/>
    <xf numFmtId="2" fontId="10" fillId="2" borderId="1" xfId="0" applyNumberFormat="1" applyFont="1" applyFill="1" applyBorder="1" applyAlignment="1"/>
    <xf numFmtId="0" fontId="10" fillId="2" borderId="0" xfId="0" applyFont="1" applyFill="1" applyAlignment="1">
      <alignment horizontal="center" vertical="center"/>
    </xf>
    <xf numFmtId="0" fontId="10" fillId="2" borderId="0" xfId="0" applyFont="1" applyFill="1"/>
    <xf numFmtId="0" fontId="10" fillId="2" borderId="0" xfId="0" applyFont="1" applyFill="1" applyAlignment="1"/>
    <xf numFmtId="2" fontId="10" fillId="2" borderId="0" xfId="0" applyNumberFormat="1" applyFont="1" applyFill="1"/>
    <xf numFmtId="0" fontId="10" fillId="0" borderId="0" xfId="0" applyFont="1" applyAlignment="1"/>
    <xf numFmtId="0" fontId="11" fillId="0" borderId="0" xfId="0" applyFont="1" applyAlignment="1">
      <alignment horizontal="center" vertical="center"/>
    </xf>
    <xf numFmtId="0" fontId="11" fillId="0" borderId="0" xfId="0" applyFont="1" applyAlignment="1">
      <alignment vertical="center"/>
    </xf>
    <xf numFmtId="0" fontId="11" fillId="0" borderId="0" xfId="0" applyFont="1"/>
    <xf numFmtId="0" fontId="11" fillId="0" borderId="0" xfId="0" applyFont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left" vertical="center" wrapText="1"/>
    </xf>
    <xf numFmtId="2" fontId="5" fillId="0" borderId="2" xfId="0" applyNumberFormat="1" applyFont="1" applyBorder="1"/>
    <xf numFmtId="0" fontId="5" fillId="2" borderId="2" xfId="0" applyFont="1" applyFill="1" applyBorder="1"/>
    <xf numFmtId="4" fontId="5" fillId="2" borderId="2" xfId="0" applyNumberFormat="1" applyFont="1" applyFill="1" applyBorder="1" applyAlignment="1"/>
    <xf numFmtId="164" fontId="5" fillId="0" borderId="1" xfId="0" applyNumberFormat="1" applyFont="1" applyBorder="1" applyAlignment="1">
      <alignment horizontal="center" vertical="center"/>
    </xf>
    <xf numFmtId="164" fontId="5" fillId="2" borderId="1" xfId="0" applyNumberFormat="1" applyFont="1" applyFill="1" applyBorder="1" applyAlignment="1">
      <alignment horizontal="center" vertical="center"/>
    </xf>
    <xf numFmtId="2" fontId="6" fillId="0" borderId="0" xfId="0" applyNumberFormat="1" applyFont="1" applyBorder="1" applyAlignment="1">
      <alignment horizontal="center" vertical="center"/>
    </xf>
    <xf numFmtId="2" fontId="5" fillId="4" borderId="1" xfId="0" applyNumberFormat="1" applyFont="1" applyFill="1" applyBorder="1" applyAlignment="1">
      <alignment horizontal="center" vertical="center" wrapText="1"/>
    </xf>
    <xf numFmtId="0" fontId="5" fillId="0" borderId="3" xfId="0" applyFont="1" applyBorder="1" applyAlignment="1">
      <alignment horizontal="justify" vertical="center" wrapText="1"/>
    </xf>
    <xf numFmtId="4" fontId="7" fillId="4" borderId="1" xfId="0" applyNumberFormat="1" applyFont="1" applyFill="1" applyBorder="1" applyAlignment="1">
      <alignment horizontal="center" vertical="center"/>
    </xf>
    <xf numFmtId="4" fontId="3" fillId="4" borderId="1" xfId="0" applyNumberFormat="1" applyFont="1" applyFill="1" applyBorder="1" applyAlignment="1">
      <alignment horizontal="center" vertical="center"/>
    </xf>
    <xf numFmtId="0" fontId="1" fillId="3" borderId="2" xfId="0" applyFont="1" applyFill="1" applyBorder="1" applyAlignment="1">
      <alignment horizontal="right"/>
    </xf>
    <xf numFmtId="0" fontId="3" fillId="3" borderId="4" xfId="0" applyFont="1" applyFill="1" applyBorder="1" applyAlignment="1">
      <alignment horizontal="right"/>
    </xf>
    <xf numFmtId="0" fontId="3" fillId="3" borderId="7" xfId="0" applyFont="1" applyFill="1" applyBorder="1" applyAlignment="1">
      <alignment horizontal="right"/>
    </xf>
    <xf numFmtId="0" fontId="5" fillId="0" borderId="0" xfId="0" applyFont="1" applyBorder="1" applyAlignment="1">
      <alignment horizontal="left" wrapText="1"/>
    </xf>
    <xf numFmtId="0" fontId="0" fillId="0" borderId="0" xfId="0" applyAlignment="1"/>
    <xf numFmtId="164" fontId="5" fillId="0" borderId="8" xfId="0" applyNumberFormat="1" applyFont="1" applyFill="1" applyBorder="1" applyAlignment="1">
      <alignment horizontal="center" vertical="center"/>
    </xf>
    <xf numFmtId="0" fontId="5" fillId="0" borderId="0" xfId="0" applyFont="1" applyFill="1" applyAlignment="1"/>
    <xf numFmtId="0" fontId="12" fillId="0" borderId="0" xfId="0" applyFont="1" applyBorder="1" applyAlignment="1">
      <alignment horizontal="left"/>
    </xf>
    <xf numFmtId="0" fontId="7" fillId="3" borderId="1" xfId="0" applyFont="1" applyFill="1" applyBorder="1" applyAlignment="1">
      <alignment horizontal="right"/>
    </xf>
    <xf numFmtId="0" fontId="7" fillId="3" borderId="5" xfId="0" applyFont="1" applyFill="1" applyBorder="1" applyAlignment="1">
      <alignment horizontal="right"/>
    </xf>
    <xf numFmtId="0" fontId="5" fillId="0" borderId="6" xfId="0" applyFont="1" applyBorder="1" applyAlignment="1"/>
    <xf numFmtId="0" fontId="0" fillId="0" borderId="6" xfId="0" applyBorder="1" applyAlignment="1"/>
    <xf numFmtId="0" fontId="5" fillId="0" borderId="0" xfId="0" applyFont="1" applyFill="1" applyAlignment="1">
      <alignment horizontal="left"/>
    </xf>
    <xf numFmtId="0" fontId="7" fillId="2" borderId="0" xfId="0" applyFont="1" applyFill="1" applyBorder="1" applyAlignment="1">
      <alignment horizontal="center" vertical="center" wrapText="1"/>
    </xf>
    <xf numFmtId="0" fontId="12" fillId="2" borderId="0" xfId="0" applyFont="1" applyFill="1" applyBorder="1" applyAlignment="1">
      <alignment horizontal="left"/>
    </xf>
    <xf numFmtId="2" fontId="10" fillId="2" borderId="2" xfId="0" applyNumberFormat="1" applyFont="1" applyFill="1" applyBorder="1" applyAlignment="1">
      <alignment horizontal="center" vertical="center"/>
    </xf>
    <xf numFmtId="0" fontId="10" fillId="2" borderId="7" xfId="0" applyFont="1" applyFill="1" applyBorder="1" applyAlignment="1">
      <alignment horizontal="center" vertical="center"/>
    </xf>
    <xf numFmtId="164" fontId="5" fillId="4" borderId="1" xfId="0" applyNumberFormat="1" applyFont="1" applyFill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O44"/>
  <sheetViews>
    <sheetView tabSelected="1" topLeftCell="A18" zoomScale="75" zoomScaleNormal="75" workbookViewId="0">
      <selection activeCell="N28" sqref="N28"/>
    </sheetView>
  </sheetViews>
  <sheetFormatPr defaultColWidth="8.85546875" defaultRowHeight="15.75"/>
  <cols>
    <col min="1" max="1" width="9.28515625" style="1" customWidth="1"/>
    <col min="2" max="2" width="48" style="1" customWidth="1"/>
    <col min="3" max="3" width="22.5703125" style="1" customWidth="1"/>
    <col min="4" max="4" width="14.7109375" style="1" customWidth="1"/>
    <col min="5" max="5" width="12.42578125" style="1" customWidth="1"/>
    <col min="6" max="6" width="23.7109375" style="27" customWidth="1"/>
    <col min="7" max="7" width="16" style="27" hidden="1" customWidth="1"/>
    <col min="8" max="9" width="15.5703125" style="1" hidden="1" customWidth="1"/>
    <col min="10" max="10" width="13.5703125" style="36" hidden="1" customWidth="1"/>
    <col min="11" max="11" width="11.28515625" style="1" hidden="1" customWidth="1"/>
    <col min="12" max="12" width="19" style="1" hidden="1" customWidth="1"/>
    <col min="13" max="13" width="12.5703125" style="1" hidden="1" customWidth="1"/>
    <col min="14" max="14" width="15.140625" style="1" customWidth="1"/>
    <col min="15" max="16384" width="8.85546875" style="1"/>
  </cols>
  <sheetData>
    <row r="1" spans="1:15">
      <c r="B1" s="1" t="s">
        <v>0</v>
      </c>
      <c r="F1" s="2"/>
      <c r="G1" s="2"/>
    </row>
    <row r="2" spans="1:15">
      <c r="E2" s="110" t="s">
        <v>1</v>
      </c>
      <c r="F2" s="102"/>
      <c r="G2" s="102"/>
      <c r="H2" s="102"/>
      <c r="I2" s="102"/>
      <c r="J2" s="102"/>
      <c r="K2" s="102"/>
      <c r="L2" s="102"/>
      <c r="M2" s="102"/>
      <c r="N2" s="102"/>
      <c r="O2" s="102"/>
    </row>
    <row r="3" spans="1:15" s="3" customFormat="1" ht="18.75" customHeight="1">
      <c r="A3" s="111" t="s">
        <v>80</v>
      </c>
      <c r="B3" s="111"/>
      <c r="C3" s="111"/>
      <c r="D3" s="111"/>
      <c r="E3" s="111"/>
      <c r="F3" s="111"/>
      <c r="G3" s="111"/>
      <c r="H3" s="111"/>
      <c r="I3" s="111"/>
      <c r="J3" s="111"/>
      <c r="K3" s="111"/>
      <c r="L3" s="111"/>
      <c r="M3" s="111"/>
      <c r="N3" s="111"/>
    </row>
    <row r="4" spans="1:15" s="3" customFormat="1" ht="32.25" customHeight="1">
      <c r="A4" s="111"/>
      <c r="B4" s="111"/>
      <c r="C4" s="111"/>
      <c r="D4" s="111"/>
      <c r="E4" s="111"/>
      <c r="F4" s="111"/>
      <c r="G4" s="111"/>
      <c r="H4" s="111"/>
      <c r="I4" s="111"/>
      <c r="J4" s="111"/>
      <c r="K4" s="111"/>
      <c r="L4" s="111"/>
      <c r="M4" s="111"/>
      <c r="N4" s="111"/>
    </row>
    <row r="5" spans="1:15" ht="24.75" customHeight="1">
      <c r="A5" s="4"/>
      <c r="B5" s="4" t="s">
        <v>49</v>
      </c>
      <c r="C5" s="4" t="s">
        <v>2</v>
      </c>
      <c r="D5" s="5">
        <v>4268.8</v>
      </c>
      <c r="E5" s="93">
        <f>E8</f>
        <v>4268.8</v>
      </c>
      <c r="F5" s="39"/>
      <c r="G5" s="6"/>
      <c r="H5" s="7"/>
      <c r="I5" s="7"/>
      <c r="K5" s="4"/>
      <c r="L5" s="4"/>
    </row>
    <row r="6" spans="1:15" ht="20.25" customHeight="1">
      <c r="A6" s="105" t="s">
        <v>3</v>
      </c>
      <c r="B6" s="105"/>
      <c r="C6" s="105"/>
      <c r="D6" s="105"/>
      <c r="E6" s="105"/>
      <c r="F6" s="105"/>
      <c r="G6" s="105"/>
      <c r="H6" s="105"/>
      <c r="I6" s="105"/>
      <c r="K6" s="108" t="s">
        <v>48</v>
      </c>
      <c r="L6" s="109"/>
      <c r="M6" s="109"/>
    </row>
    <row r="7" spans="1:15" ht="53.45" customHeight="1">
      <c r="A7" s="8" t="s">
        <v>4</v>
      </c>
      <c r="B7" s="8" t="s">
        <v>5</v>
      </c>
      <c r="C7" s="8" t="s">
        <v>6</v>
      </c>
      <c r="D7" s="8" t="s">
        <v>7</v>
      </c>
      <c r="E7" s="8" t="s">
        <v>8</v>
      </c>
      <c r="F7" s="9" t="s">
        <v>56</v>
      </c>
      <c r="G7" s="10"/>
      <c r="H7" s="10" t="s">
        <v>10</v>
      </c>
      <c r="I7" s="30" t="s">
        <v>9</v>
      </c>
      <c r="J7" s="10" t="s">
        <v>46</v>
      </c>
      <c r="K7" s="8" t="s">
        <v>47</v>
      </c>
      <c r="L7" s="8"/>
      <c r="M7" s="87"/>
      <c r="N7" s="10" t="s">
        <v>46</v>
      </c>
      <c r="O7" s="31"/>
    </row>
    <row r="8" spans="1:15" ht="63">
      <c r="A8" s="8">
        <v>1</v>
      </c>
      <c r="B8" s="11" t="s">
        <v>14</v>
      </c>
      <c r="C8" s="8" t="s">
        <v>15</v>
      </c>
      <c r="D8" s="12">
        <v>0.33</v>
      </c>
      <c r="E8" s="28">
        <v>4268.8</v>
      </c>
      <c r="F8" s="9" t="s">
        <v>16</v>
      </c>
      <c r="G8" s="9">
        <v>12</v>
      </c>
      <c r="H8" s="13">
        <f t="shared" ref="H8:H26" si="0">D8*E8</f>
        <v>1408.7040000000002</v>
      </c>
      <c r="I8" s="32">
        <f t="shared" ref="I8:I26" si="1">H8*G8</f>
        <v>16904.448000000004</v>
      </c>
      <c r="J8" s="14">
        <f>I8/G8/E8</f>
        <v>0.33000000000000007</v>
      </c>
      <c r="K8" s="12"/>
      <c r="L8" s="12"/>
      <c r="M8" s="88"/>
      <c r="N8" s="91">
        <f>J8*1.04*1.092*1.072*1.0948*1.1308</f>
        <v>0.49737653383709507</v>
      </c>
    </row>
    <row r="9" spans="1:15" ht="63">
      <c r="A9" s="8">
        <f>A8+1</f>
        <v>2</v>
      </c>
      <c r="B9" s="34" t="s">
        <v>52</v>
      </c>
      <c r="C9" s="8" t="s">
        <v>15</v>
      </c>
      <c r="D9" s="12">
        <v>0.08</v>
      </c>
      <c r="E9" s="28">
        <v>4268.8</v>
      </c>
      <c r="F9" s="9" t="s">
        <v>16</v>
      </c>
      <c r="G9" s="9">
        <v>12</v>
      </c>
      <c r="H9" s="13">
        <f t="shared" si="0"/>
        <v>341.50400000000002</v>
      </c>
      <c r="I9" s="32">
        <f t="shared" si="1"/>
        <v>4098.0480000000007</v>
      </c>
      <c r="J9" s="14">
        <f t="shared" ref="J9:J26" si="2">I9/G9/E9</f>
        <v>8.0000000000000016E-2</v>
      </c>
      <c r="K9" s="12"/>
      <c r="L9" s="12"/>
      <c r="M9" s="88"/>
      <c r="N9" s="91">
        <f t="shared" ref="N9:N22" si="3">J9*1.04*1.092*1.072*1.0948*1.1308</f>
        <v>0.12057612941505336</v>
      </c>
    </row>
    <row r="10" spans="1:15" ht="63">
      <c r="A10" s="8">
        <f t="shared" ref="A10:A26" si="4">A9+1</f>
        <v>3</v>
      </c>
      <c r="B10" s="34" t="s">
        <v>18</v>
      </c>
      <c r="C10" s="8" t="s">
        <v>17</v>
      </c>
      <c r="D10" s="12">
        <v>0.16</v>
      </c>
      <c r="E10" s="28">
        <v>4268.8</v>
      </c>
      <c r="F10" s="9" t="s">
        <v>16</v>
      </c>
      <c r="G10" s="9">
        <v>12</v>
      </c>
      <c r="H10" s="13">
        <f t="shared" si="0"/>
        <v>683.00800000000004</v>
      </c>
      <c r="I10" s="32">
        <f t="shared" si="1"/>
        <v>8196.0960000000014</v>
      </c>
      <c r="J10" s="14">
        <f t="shared" si="2"/>
        <v>0.16000000000000003</v>
      </c>
      <c r="K10" s="12"/>
      <c r="L10" s="12"/>
      <c r="M10" s="88"/>
      <c r="N10" s="91">
        <f t="shared" si="3"/>
        <v>0.24115225883010671</v>
      </c>
    </row>
    <row r="11" spans="1:15" ht="74.25" customHeight="1">
      <c r="A11" s="8">
        <f t="shared" si="4"/>
        <v>4</v>
      </c>
      <c r="B11" s="34" t="s">
        <v>19</v>
      </c>
      <c r="C11" s="8" t="s">
        <v>20</v>
      </c>
      <c r="D11" s="12">
        <v>7.0000000000000007E-2</v>
      </c>
      <c r="E11" s="28">
        <v>4268.8</v>
      </c>
      <c r="F11" s="9" t="s">
        <v>16</v>
      </c>
      <c r="G11" s="9">
        <v>12</v>
      </c>
      <c r="H11" s="13">
        <f t="shared" si="0"/>
        <v>298.81600000000003</v>
      </c>
      <c r="I11" s="32">
        <f t="shared" si="1"/>
        <v>3585.7920000000004</v>
      </c>
      <c r="J11" s="14">
        <f t="shared" si="2"/>
        <v>7.0000000000000007E-2</v>
      </c>
      <c r="K11" s="12"/>
      <c r="L11" s="12"/>
      <c r="M11" s="88"/>
      <c r="N11" s="91">
        <f t="shared" si="3"/>
        <v>0.10550411323817167</v>
      </c>
    </row>
    <row r="12" spans="1:15" ht="78.75">
      <c r="A12" s="8">
        <f t="shared" si="4"/>
        <v>5</v>
      </c>
      <c r="B12" s="34" t="s">
        <v>21</v>
      </c>
      <c r="C12" s="8" t="s">
        <v>22</v>
      </c>
      <c r="D12" s="12">
        <v>0.04</v>
      </c>
      <c r="E12" s="28">
        <v>4268.8</v>
      </c>
      <c r="F12" s="9" t="s">
        <v>16</v>
      </c>
      <c r="G12" s="9">
        <v>12</v>
      </c>
      <c r="H12" s="13">
        <f t="shared" si="0"/>
        <v>170.75200000000001</v>
      </c>
      <c r="I12" s="32">
        <f t="shared" si="1"/>
        <v>2049.0240000000003</v>
      </c>
      <c r="J12" s="14">
        <f t="shared" si="2"/>
        <v>4.0000000000000008E-2</v>
      </c>
      <c r="K12" s="12"/>
      <c r="L12" s="12"/>
      <c r="M12" s="88"/>
      <c r="N12" s="91">
        <f t="shared" si="3"/>
        <v>6.0288064707526678E-2</v>
      </c>
    </row>
    <row r="13" spans="1:15" ht="63">
      <c r="A13" s="8">
        <f t="shared" si="4"/>
        <v>6</v>
      </c>
      <c r="B13" s="34" t="s">
        <v>24</v>
      </c>
      <c r="C13" s="8" t="s">
        <v>25</v>
      </c>
      <c r="D13" s="12">
        <v>0.2</v>
      </c>
      <c r="E13" s="28">
        <v>4268.8</v>
      </c>
      <c r="F13" s="9" t="s">
        <v>16</v>
      </c>
      <c r="G13" s="9">
        <v>12</v>
      </c>
      <c r="H13" s="13">
        <f t="shared" si="0"/>
        <v>853.7600000000001</v>
      </c>
      <c r="I13" s="32">
        <f t="shared" si="1"/>
        <v>10245.120000000001</v>
      </c>
      <c r="J13" s="14">
        <f t="shared" si="2"/>
        <v>0.2</v>
      </c>
      <c r="K13" s="12"/>
      <c r="L13" s="12"/>
      <c r="M13" s="88"/>
      <c r="N13" s="91">
        <f t="shared" si="3"/>
        <v>0.30144032353763334</v>
      </c>
    </row>
    <row r="14" spans="1:15" ht="63">
      <c r="A14" s="8">
        <f t="shared" si="4"/>
        <v>7</v>
      </c>
      <c r="B14" s="34" t="s">
        <v>53</v>
      </c>
      <c r="C14" s="8" t="s">
        <v>27</v>
      </c>
      <c r="D14" s="12">
        <v>0.18000000000000002</v>
      </c>
      <c r="E14" s="28">
        <v>4268.8</v>
      </c>
      <c r="F14" s="9" t="s">
        <v>16</v>
      </c>
      <c r="G14" s="9">
        <v>12</v>
      </c>
      <c r="H14" s="13">
        <f t="shared" si="0"/>
        <v>768.38400000000013</v>
      </c>
      <c r="I14" s="32">
        <f t="shared" si="1"/>
        <v>9220.608000000002</v>
      </c>
      <c r="J14" s="14">
        <f t="shared" si="2"/>
        <v>0.18000000000000002</v>
      </c>
      <c r="K14" s="12"/>
      <c r="L14" s="12"/>
      <c r="M14" s="88"/>
      <c r="N14" s="91">
        <f t="shared" si="3"/>
        <v>0.27129629118387005</v>
      </c>
    </row>
    <row r="15" spans="1:15" ht="63">
      <c r="A15" s="8">
        <f t="shared" si="4"/>
        <v>8</v>
      </c>
      <c r="B15" s="11" t="s">
        <v>28</v>
      </c>
      <c r="C15" s="8" t="s">
        <v>27</v>
      </c>
      <c r="D15" s="12">
        <v>0.19</v>
      </c>
      <c r="E15" s="28">
        <v>4268.8</v>
      </c>
      <c r="F15" s="9" t="s">
        <v>16</v>
      </c>
      <c r="G15" s="9">
        <v>12</v>
      </c>
      <c r="H15" s="13">
        <f t="shared" si="0"/>
        <v>811.072</v>
      </c>
      <c r="I15" s="32">
        <f t="shared" si="1"/>
        <v>9732.8639999999996</v>
      </c>
      <c r="J15" s="14">
        <f t="shared" si="2"/>
        <v>0.19</v>
      </c>
      <c r="K15" s="12"/>
      <c r="L15" s="12"/>
      <c r="M15" s="88"/>
      <c r="N15" s="91">
        <f t="shared" si="3"/>
        <v>0.28636830736075164</v>
      </c>
    </row>
    <row r="16" spans="1:15" ht="33" customHeight="1">
      <c r="A16" s="8">
        <f t="shared" si="4"/>
        <v>9</v>
      </c>
      <c r="B16" s="11" t="s">
        <v>54</v>
      </c>
      <c r="C16" s="8" t="s">
        <v>15</v>
      </c>
      <c r="D16" s="12">
        <v>0.52</v>
      </c>
      <c r="E16" s="28">
        <v>4268.8</v>
      </c>
      <c r="F16" s="15" t="s">
        <v>55</v>
      </c>
      <c r="G16" s="9">
        <v>12</v>
      </c>
      <c r="H16" s="13">
        <f t="shared" si="0"/>
        <v>2219.7760000000003</v>
      </c>
      <c r="I16" s="32">
        <f t="shared" si="1"/>
        <v>26637.312000000005</v>
      </c>
      <c r="J16" s="14">
        <f t="shared" si="2"/>
        <v>0.52</v>
      </c>
      <c r="K16" s="12"/>
      <c r="L16" s="12"/>
      <c r="M16" s="88"/>
      <c r="N16" s="91">
        <f t="shared" si="3"/>
        <v>0.78374484119784671</v>
      </c>
    </row>
    <row r="17" spans="1:15" ht="33" customHeight="1">
      <c r="A17" s="8">
        <f t="shared" si="4"/>
        <v>10</v>
      </c>
      <c r="B17" s="11" t="s">
        <v>29</v>
      </c>
      <c r="C17" s="8" t="s">
        <v>15</v>
      </c>
      <c r="D17" s="12">
        <v>0.44</v>
      </c>
      <c r="E17" s="28">
        <v>4268.8</v>
      </c>
      <c r="F17" s="15" t="s">
        <v>55</v>
      </c>
      <c r="G17" s="9">
        <v>12</v>
      </c>
      <c r="H17" s="13">
        <f t="shared" si="0"/>
        <v>1878.2720000000002</v>
      </c>
      <c r="I17" s="32">
        <f t="shared" si="1"/>
        <v>22539.264000000003</v>
      </c>
      <c r="J17" s="14">
        <f t="shared" si="2"/>
        <v>0.44</v>
      </c>
      <c r="K17" s="12"/>
      <c r="L17" s="12"/>
      <c r="M17" s="88"/>
      <c r="N17" s="91">
        <f t="shared" si="3"/>
        <v>0.66316871178279324</v>
      </c>
    </row>
    <row r="18" spans="1:15" ht="41.25" customHeight="1">
      <c r="A18" s="8">
        <f t="shared" si="4"/>
        <v>11</v>
      </c>
      <c r="B18" s="11" t="s">
        <v>30</v>
      </c>
      <c r="C18" s="8" t="s">
        <v>27</v>
      </c>
      <c r="D18" s="12">
        <v>0.05</v>
      </c>
      <c r="E18" s="28">
        <v>4268.8</v>
      </c>
      <c r="F18" s="9" t="s">
        <v>31</v>
      </c>
      <c r="G18" s="9">
        <v>12</v>
      </c>
      <c r="H18" s="13">
        <f t="shared" si="0"/>
        <v>213.44000000000003</v>
      </c>
      <c r="I18" s="32">
        <f t="shared" si="1"/>
        <v>2561.2800000000002</v>
      </c>
      <c r="J18" s="14">
        <f t="shared" si="2"/>
        <v>0.05</v>
      </c>
      <c r="K18" s="12"/>
      <c r="L18" s="12"/>
      <c r="M18" s="88"/>
      <c r="N18" s="91">
        <f t="shared" si="3"/>
        <v>7.5360080884408334E-2</v>
      </c>
    </row>
    <row r="19" spans="1:15" ht="81.599999999999994" customHeight="1">
      <c r="A19" s="8">
        <f t="shared" si="4"/>
        <v>12</v>
      </c>
      <c r="B19" s="11" t="s">
        <v>32</v>
      </c>
      <c r="C19" s="8" t="s">
        <v>27</v>
      </c>
      <c r="D19" s="12">
        <v>0.08</v>
      </c>
      <c r="E19" s="28">
        <v>4268.8</v>
      </c>
      <c r="F19" s="9" t="s">
        <v>60</v>
      </c>
      <c r="G19" s="9">
        <v>12</v>
      </c>
      <c r="H19" s="13">
        <f t="shared" si="0"/>
        <v>341.50400000000002</v>
      </c>
      <c r="I19" s="32">
        <f t="shared" si="1"/>
        <v>4098.0480000000007</v>
      </c>
      <c r="J19" s="14">
        <f t="shared" si="2"/>
        <v>8.0000000000000016E-2</v>
      </c>
      <c r="K19" s="12"/>
      <c r="L19" s="12"/>
      <c r="M19" s="88"/>
      <c r="N19" s="91">
        <f t="shared" si="3"/>
        <v>0.12057612941505336</v>
      </c>
    </row>
    <row r="20" spans="1:15" ht="31.5">
      <c r="A20" s="8">
        <f t="shared" si="4"/>
        <v>13</v>
      </c>
      <c r="B20" s="11" t="s">
        <v>33</v>
      </c>
      <c r="C20" s="8" t="s">
        <v>34</v>
      </c>
      <c r="D20" s="12">
        <v>0.47000000000000003</v>
      </c>
      <c r="E20" s="28">
        <v>4268.8</v>
      </c>
      <c r="F20" s="9" t="s">
        <v>23</v>
      </c>
      <c r="G20" s="9">
        <v>12</v>
      </c>
      <c r="H20" s="13">
        <f t="shared" si="0"/>
        <v>2006.3360000000002</v>
      </c>
      <c r="I20" s="32">
        <f t="shared" si="1"/>
        <v>24076.032000000003</v>
      </c>
      <c r="J20" s="14">
        <f t="shared" si="2"/>
        <v>0.47000000000000003</v>
      </c>
      <c r="K20" s="12">
        <v>23200</v>
      </c>
      <c r="L20" s="12">
        <f>K20/12/E20</f>
        <v>0.45289855072463764</v>
      </c>
      <c r="M20" s="88"/>
      <c r="N20" s="115">
        <v>0.89</v>
      </c>
      <c r="O20" s="27"/>
    </row>
    <row r="21" spans="1:15" ht="31.5">
      <c r="A21" s="8">
        <f t="shared" si="4"/>
        <v>14</v>
      </c>
      <c r="B21" s="40" t="s">
        <v>50</v>
      </c>
      <c r="C21" s="8" t="s">
        <v>35</v>
      </c>
      <c r="D21" s="12">
        <v>1.43</v>
      </c>
      <c r="E21" s="28">
        <v>4268.8</v>
      </c>
      <c r="F21" s="15" t="s">
        <v>55</v>
      </c>
      <c r="G21" s="9">
        <v>12</v>
      </c>
      <c r="H21" s="13">
        <f t="shared" si="0"/>
        <v>6104.384</v>
      </c>
      <c r="I21" s="32">
        <f t="shared" si="1"/>
        <v>73252.608000000007</v>
      </c>
      <c r="J21" s="14">
        <f t="shared" si="2"/>
        <v>1.4300000000000002</v>
      </c>
      <c r="K21" s="12">
        <v>463</v>
      </c>
      <c r="L21" s="12">
        <f>(4372.12+689+42.41)*12</f>
        <v>61242.36</v>
      </c>
      <c r="M21" s="88">
        <f>L21*0.06+L21</f>
        <v>64916.901599999997</v>
      </c>
      <c r="N21" s="91">
        <f t="shared" si="3"/>
        <v>2.1552983132940788</v>
      </c>
    </row>
    <row r="22" spans="1:15" ht="47.25">
      <c r="A22" s="8">
        <f t="shared" si="4"/>
        <v>15</v>
      </c>
      <c r="B22" s="40" t="s">
        <v>77</v>
      </c>
      <c r="C22" s="8" t="s">
        <v>36</v>
      </c>
      <c r="D22" s="12">
        <v>3.28</v>
      </c>
      <c r="E22" s="28">
        <v>4268.8</v>
      </c>
      <c r="F22" s="9" t="s">
        <v>37</v>
      </c>
      <c r="G22" s="9">
        <v>12</v>
      </c>
      <c r="H22" s="13">
        <f t="shared" si="0"/>
        <v>14001.664000000001</v>
      </c>
      <c r="I22" s="32">
        <f t="shared" si="1"/>
        <v>168019.96799999999</v>
      </c>
      <c r="J22" s="14">
        <f t="shared" si="2"/>
        <v>3.28</v>
      </c>
      <c r="K22" s="12">
        <v>1360</v>
      </c>
      <c r="L22" s="12">
        <f>(7374.53+689+488.82)*12</f>
        <v>102628.20000000001</v>
      </c>
      <c r="M22" s="88">
        <f>L22*0.06+L22</f>
        <v>108785.89200000001</v>
      </c>
      <c r="N22" s="91">
        <f t="shared" si="3"/>
        <v>4.9436213060171861</v>
      </c>
    </row>
    <row r="23" spans="1:15" ht="31.5">
      <c r="A23" s="8">
        <f t="shared" si="4"/>
        <v>16</v>
      </c>
      <c r="B23" s="16" t="s">
        <v>38</v>
      </c>
      <c r="C23" s="17" t="s">
        <v>39</v>
      </c>
      <c r="D23" s="94">
        <f>5918.58*1.0948*1.1308</f>
        <v>7327.2010930271999</v>
      </c>
      <c r="E23" s="12">
        <v>2</v>
      </c>
      <c r="F23" s="15" t="s">
        <v>55</v>
      </c>
      <c r="G23" s="15">
        <v>12</v>
      </c>
      <c r="H23" s="13">
        <f t="shared" si="0"/>
        <v>14654.4021860544</v>
      </c>
      <c r="I23" s="32">
        <f t="shared" si="1"/>
        <v>175852.82623265279</v>
      </c>
      <c r="J23" s="14">
        <f>I23/12/D5</f>
        <v>3.4329090578275858</v>
      </c>
      <c r="K23" s="12"/>
      <c r="L23" s="12"/>
      <c r="M23" s="88"/>
      <c r="N23" s="91">
        <f>D23*E23/E22</f>
        <v>3.4329090578275858</v>
      </c>
    </row>
    <row r="24" spans="1:15">
      <c r="A24" s="8">
        <f t="shared" si="4"/>
        <v>17</v>
      </c>
      <c r="B24" s="16" t="s">
        <v>40</v>
      </c>
      <c r="C24" s="17" t="s">
        <v>15</v>
      </c>
      <c r="D24" s="12">
        <v>1.74</v>
      </c>
      <c r="E24" s="28">
        <v>4268.8</v>
      </c>
      <c r="F24" s="15" t="s">
        <v>55</v>
      </c>
      <c r="G24" s="15">
        <v>12</v>
      </c>
      <c r="H24" s="13">
        <f t="shared" si="0"/>
        <v>7427.7120000000004</v>
      </c>
      <c r="I24" s="32">
        <f t="shared" si="1"/>
        <v>89132.544000000009</v>
      </c>
      <c r="J24" s="14">
        <f t="shared" si="2"/>
        <v>1.74</v>
      </c>
      <c r="K24" s="12"/>
      <c r="L24" s="12"/>
      <c r="M24" s="88"/>
      <c r="N24" s="91">
        <f>J24*1.04*1.092*1.072*1.0948*1.1308</f>
        <v>2.6225308147774102</v>
      </c>
    </row>
    <row r="25" spans="1:15">
      <c r="A25" s="8">
        <f t="shared" si="4"/>
        <v>18</v>
      </c>
      <c r="B25" s="16" t="s">
        <v>41</v>
      </c>
      <c r="C25" s="17" t="s">
        <v>42</v>
      </c>
      <c r="D25" s="12">
        <v>0.13</v>
      </c>
      <c r="E25" s="28">
        <v>4268.8</v>
      </c>
      <c r="F25" s="15" t="s">
        <v>55</v>
      </c>
      <c r="G25" s="15">
        <v>12</v>
      </c>
      <c r="H25" s="13">
        <f t="shared" si="0"/>
        <v>554.94400000000007</v>
      </c>
      <c r="I25" s="32">
        <f t="shared" si="1"/>
        <v>6659.3280000000013</v>
      </c>
      <c r="J25" s="14">
        <f t="shared" si="2"/>
        <v>0.13</v>
      </c>
      <c r="K25" s="12"/>
      <c r="L25" s="12"/>
      <c r="M25" s="88"/>
      <c r="N25" s="91">
        <f t="shared" ref="N25:N26" si="5">J25*1.04*1.092*1.072*1.0948*1.1308</f>
        <v>0.19593621029946168</v>
      </c>
    </row>
    <row r="26" spans="1:15" ht="48.75" customHeight="1">
      <c r="A26" s="8">
        <f t="shared" si="4"/>
        <v>19</v>
      </c>
      <c r="B26" s="95" t="s">
        <v>43</v>
      </c>
      <c r="C26" s="14" t="s">
        <v>15</v>
      </c>
      <c r="D26" s="12">
        <v>1.27</v>
      </c>
      <c r="E26" s="28">
        <v>4268.8</v>
      </c>
      <c r="F26" s="15" t="s">
        <v>55</v>
      </c>
      <c r="G26" s="15">
        <v>12</v>
      </c>
      <c r="H26" s="13">
        <f t="shared" si="0"/>
        <v>5421.3760000000002</v>
      </c>
      <c r="I26" s="32">
        <f t="shared" si="1"/>
        <v>65056.512000000002</v>
      </c>
      <c r="J26" s="14">
        <f t="shared" si="2"/>
        <v>1.27</v>
      </c>
      <c r="K26" s="12"/>
      <c r="L26" s="12"/>
      <c r="M26" s="88"/>
      <c r="N26" s="91">
        <f t="shared" si="5"/>
        <v>1.9141460544639717</v>
      </c>
    </row>
    <row r="27" spans="1:15" s="41" customFormat="1">
      <c r="A27" s="106" t="s">
        <v>57</v>
      </c>
      <c r="B27" s="107"/>
      <c r="C27" s="106"/>
      <c r="D27" s="106"/>
      <c r="E27" s="106"/>
      <c r="F27" s="106"/>
      <c r="G27" s="51"/>
      <c r="H27" s="52">
        <f t="shared" ref="H27:M27" si="6">SUM(H8:H26)</f>
        <v>60159.810186054412</v>
      </c>
      <c r="I27" s="52">
        <f t="shared" si="6"/>
        <v>721917.72223265271</v>
      </c>
      <c r="J27" s="52">
        <f t="shared" si="6"/>
        <v>14.092909057827587</v>
      </c>
      <c r="K27" s="52">
        <f t="shared" si="6"/>
        <v>25023</v>
      </c>
      <c r="L27" s="52">
        <f t="shared" si="6"/>
        <v>163871.01289855075</v>
      </c>
      <c r="M27" s="52">
        <f t="shared" si="6"/>
        <v>173702.7936</v>
      </c>
      <c r="N27" s="52">
        <f>SUM(N8:N26)-0.01</f>
        <v>19.67129354207</v>
      </c>
    </row>
    <row r="28" spans="1:15" s="3" customFormat="1">
      <c r="A28" s="112" t="s">
        <v>44</v>
      </c>
      <c r="B28" s="112"/>
      <c r="C28" s="112"/>
      <c r="D28" s="112"/>
      <c r="E28" s="112"/>
      <c r="F28" s="112"/>
      <c r="G28" s="112"/>
      <c r="H28" s="112"/>
      <c r="I28" s="112"/>
      <c r="J28" s="37"/>
      <c r="N28" s="92"/>
    </row>
    <row r="29" spans="1:15" s="3" customFormat="1" ht="56.25" customHeight="1">
      <c r="A29" s="42" t="s">
        <v>4</v>
      </c>
      <c r="B29" s="42" t="s">
        <v>5</v>
      </c>
      <c r="C29" s="42" t="s">
        <v>6</v>
      </c>
      <c r="D29" s="42" t="s">
        <v>7</v>
      </c>
      <c r="E29" s="42" t="s">
        <v>8</v>
      </c>
      <c r="F29" s="43" t="s">
        <v>56</v>
      </c>
      <c r="G29" s="43"/>
      <c r="H29" s="42" t="s">
        <v>10</v>
      </c>
      <c r="I29" s="44" t="s">
        <v>9</v>
      </c>
      <c r="J29" s="42" t="s">
        <v>46</v>
      </c>
      <c r="K29" s="42"/>
      <c r="L29" s="42"/>
      <c r="M29" s="89"/>
      <c r="N29" s="10" t="s">
        <v>46</v>
      </c>
    </row>
    <row r="30" spans="1:15" s="3" customFormat="1" ht="28.15" customHeight="1">
      <c r="A30" s="42">
        <v>1</v>
      </c>
      <c r="B30" s="45" t="s">
        <v>44</v>
      </c>
      <c r="C30" s="46"/>
      <c r="D30" s="19">
        <v>2.04</v>
      </c>
      <c r="E30" s="42">
        <v>4268.8</v>
      </c>
      <c r="F30" s="43" t="s">
        <v>45</v>
      </c>
      <c r="G30" s="43">
        <v>12</v>
      </c>
      <c r="H30" s="47"/>
      <c r="I30" s="47">
        <f>D30*E30*G30</f>
        <v>104500.22400000002</v>
      </c>
      <c r="J30" s="48">
        <f>I30/G30/E30</f>
        <v>2.04</v>
      </c>
      <c r="K30" s="47"/>
      <c r="L30" s="47"/>
      <c r="M30" s="90"/>
      <c r="N30" s="115">
        <v>4.38</v>
      </c>
    </row>
    <row r="31" spans="1:15" s="3" customFormat="1" ht="36.6" customHeight="1">
      <c r="A31" s="42">
        <v>2</v>
      </c>
      <c r="B31" s="34" t="s">
        <v>11</v>
      </c>
      <c r="C31" s="42" t="s">
        <v>12</v>
      </c>
      <c r="D31" s="94">
        <f>15.97*1.072*1.083*1.1304</f>
        <v>20.958505308288</v>
      </c>
      <c r="E31" s="19">
        <v>2296</v>
      </c>
      <c r="F31" s="43" t="s">
        <v>45</v>
      </c>
      <c r="G31" s="43">
        <v>1</v>
      </c>
      <c r="H31" s="47">
        <f>D31*E31</f>
        <v>48120.728187829249</v>
      </c>
      <c r="I31" s="49">
        <f>H31*G31</f>
        <v>48120.728187829249</v>
      </c>
      <c r="J31" s="48">
        <f>I31/12/E30</f>
        <v>0.9393882782794003</v>
      </c>
      <c r="K31" s="47"/>
      <c r="L31" s="47"/>
      <c r="M31" s="90"/>
      <c r="N31" s="92">
        <f>D31*E31/E30/12</f>
        <v>0.93938827827940019</v>
      </c>
    </row>
    <row r="32" spans="1:15" s="3" customFormat="1" ht="34.5" customHeight="1">
      <c r="A32" s="42">
        <f>A31+1</f>
        <v>3</v>
      </c>
      <c r="B32" s="34" t="s">
        <v>13</v>
      </c>
      <c r="C32" s="42" t="s">
        <v>12</v>
      </c>
      <c r="D32" s="94">
        <f>11.52*1.072*1.083*1.1304</f>
        <v>15.118470955008</v>
      </c>
      <c r="E32" s="19">
        <v>2296</v>
      </c>
      <c r="F32" s="43" t="s">
        <v>45</v>
      </c>
      <c r="G32" s="43">
        <v>1</v>
      </c>
      <c r="H32" s="47">
        <f>D32*E32</f>
        <v>34712.00931269837</v>
      </c>
      <c r="I32" s="49">
        <f>H32*G32</f>
        <v>34712.00931269837</v>
      </c>
      <c r="J32" s="48">
        <f>I32/12/E30</f>
        <v>0.67763011683022489</v>
      </c>
      <c r="K32" s="47"/>
      <c r="L32" s="47"/>
      <c r="M32" s="90"/>
      <c r="N32" s="92">
        <f>D32*E32/E30/12</f>
        <v>0.67763011683022489</v>
      </c>
    </row>
    <row r="33" spans="1:15" s="50" customFormat="1">
      <c r="A33" s="106" t="s">
        <v>57</v>
      </c>
      <c r="B33" s="107"/>
      <c r="C33" s="106"/>
      <c r="D33" s="106"/>
      <c r="E33" s="106"/>
      <c r="F33" s="106"/>
      <c r="G33" s="53"/>
      <c r="H33" s="54"/>
      <c r="I33" s="55">
        <f>SUM(I30:I32)</f>
        <v>187332.96150052763</v>
      </c>
      <c r="J33" s="55">
        <f>SUM(J30:J32)</f>
        <v>3.6570183951096253</v>
      </c>
      <c r="K33" s="55">
        <f t="shared" ref="K33:M33" si="7">SUM(K30:K32)</f>
        <v>0</v>
      </c>
      <c r="L33" s="55">
        <f t="shared" si="7"/>
        <v>0</v>
      </c>
      <c r="M33" s="55">
        <f t="shared" si="7"/>
        <v>0</v>
      </c>
      <c r="N33" s="55">
        <f>SUM(N30:N32)</f>
        <v>5.9970183951096256</v>
      </c>
    </row>
    <row r="34" spans="1:15" s="41" customFormat="1">
      <c r="A34" s="106" t="s">
        <v>59</v>
      </c>
      <c r="B34" s="106"/>
      <c r="C34" s="106"/>
      <c r="D34" s="106"/>
      <c r="E34" s="106"/>
      <c r="F34" s="106"/>
      <c r="G34" s="51">
        <f>I34/12/E30</f>
        <v>17.749927452937211</v>
      </c>
      <c r="H34" s="56"/>
      <c r="I34" s="56">
        <f>I27+I33</f>
        <v>909250.6837331804</v>
      </c>
      <c r="J34" s="57">
        <f>J27+J33</f>
        <v>17.749927452937211</v>
      </c>
      <c r="K34" s="57">
        <f t="shared" ref="K34:N34" si="8">K27+K33</f>
        <v>25023</v>
      </c>
      <c r="L34" s="57">
        <f t="shared" si="8"/>
        <v>163871.01289855075</v>
      </c>
      <c r="M34" s="57">
        <f t="shared" si="8"/>
        <v>173702.7936</v>
      </c>
      <c r="N34" s="96">
        <f t="shared" si="8"/>
        <v>25.668311937179624</v>
      </c>
    </row>
    <row r="35" spans="1:15">
      <c r="A35" s="112" t="s">
        <v>58</v>
      </c>
      <c r="B35" s="112"/>
      <c r="C35" s="112"/>
      <c r="D35" s="112"/>
      <c r="E35" s="112"/>
      <c r="F35" s="112"/>
      <c r="G35" s="112"/>
      <c r="H35" s="112"/>
      <c r="I35" s="112"/>
      <c r="N35" s="103"/>
      <c r="O35" s="104"/>
    </row>
    <row r="36" spans="1:15" ht="63">
      <c r="A36" s="33">
        <v>1</v>
      </c>
      <c r="B36" s="34" t="s">
        <v>79</v>
      </c>
      <c r="C36" s="18" t="s">
        <v>15</v>
      </c>
      <c r="D36" s="19">
        <v>2.52</v>
      </c>
      <c r="E36" s="28">
        <v>4268.8</v>
      </c>
      <c r="F36" s="15" t="s">
        <v>26</v>
      </c>
      <c r="G36" s="86">
        <v>12</v>
      </c>
      <c r="H36" s="13">
        <f>D36*E36</f>
        <v>10757.376</v>
      </c>
      <c r="I36" s="32">
        <f>H36*G36</f>
        <v>129088.512</v>
      </c>
      <c r="J36" s="14">
        <f>I36/G36/E36</f>
        <v>2.52</v>
      </c>
      <c r="N36" s="91">
        <v>3.6</v>
      </c>
    </row>
    <row r="37" spans="1:15">
      <c r="A37" s="98" t="s">
        <v>78</v>
      </c>
      <c r="B37" s="99"/>
      <c r="C37" s="99"/>
      <c r="D37" s="99"/>
      <c r="E37" s="99"/>
      <c r="F37" s="100"/>
      <c r="G37" s="58">
        <f>G34+D36</f>
        <v>20.26992745293721</v>
      </c>
      <c r="H37" s="59"/>
      <c r="I37" s="58">
        <f>I36+I34</f>
        <v>1038339.1957331804</v>
      </c>
      <c r="J37" s="60">
        <f>J36+J34</f>
        <v>20.26992745293721</v>
      </c>
      <c r="K37" s="60">
        <f t="shared" ref="K37:N37" si="9">K36+K34</f>
        <v>25023</v>
      </c>
      <c r="L37" s="60">
        <f t="shared" si="9"/>
        <v>163871.01289855075</v>
      </c>
      <c r="M37" s="60">
        <f t="shared" si="9"/>
        <v>173702.7936</v>
      </c>
      <c r="N37" s="97">
        <f t="shared" si="9"/>
        <v>29.268311937179625</v>
      </c>
    </row>
    <row r="38" spans="1:15" ht="21.75" customHeight="1">
      <c r="A38" s="20"/>
      <c r="B38" s="101"/>
      <c r="C38" s="101"/>
      <c r="D38" s="101"/>
      <c r="E38" s="101"/>
      <c r="F38" s="101"/>
      <c r="G38" s="101"/>
      <c r="H38" s="101"/>
      <c r="I38" s="101"/>
      <c r="J38" s="102"/>
      <c r="K38" s="102"/>
      <c r="L38" s="102"/>
      <c r="M38" s="102"/>
      <c r="N38" s="102"/>
    </row>
    <row r="39" spans="1:15">
      <c r="A39" s="21"/>
      <c r="B39" s="101"/>
      <c r="C39" s="101"/>
      <c r="D39" s="101"/>
      <c r="E39" s="101"/>
      <c r="F39" s="101"/>
      <c r="G39" s="101"/>
      <c r="H39" s="101"/>
      <c r="I39" s="101"/>
      <c r="J39" s="102"/>
      <c r="K39" s="102"/>
      <c r="L39" s="102"/>
      <c r="M39" s="102"/>
      <c r="N39" s="102"/>
    </row>
    <row r="40" spans="1:15" ht="24" customHeight="1">
      <c r="A40" s="21"/>
      <c r="B40" s="101"/>
      <c r="C40" s="101"/>
      <c r="D40" s="101"/>
      <c r="E40" s="101"/>
      <c r="F40" s="101"/>
      <c r="G40" s="101"/>
      <c r="H40" s="101"/>
      <c r="I40" s="101"/>
      <c r="J40" s="102"/>
      <c r="K40" s="102"/>
      <c r="L40" s="102"/>
      <c r="M40" s="102"/>
      <c r="N40" s="102"/>
    </row>
    <row r="41" spans="1:15">
      <c r="A41" s="21"/>
      <c r="B41" s="21"/>
      <c r="C41" s="21"/>
      <c r="D41" s="21"/>
      <c r="E41" s="21"/>
      <c r="F41" s="22"/>
      <c r="G41" s="22"/>
      <c r="H41" s="21"/>
      <c r="I41" s="21"/>
      <c r="K41" s="29"/>
      <c r="L41" s="29"/>
    </row>
    <row r="42" spans="1:15" s="25" customFormat="1">
      <c r="A42" s="23"/>
      <c r="B42" s="24"/>
      <c r="C42" s="23"/>
      <c r="D42" s="24"/>
      <c r="F42" s="26"/>
      <c r="G42" s="26"/>
      <c r="H42" s="23"/>
      <c r="I42" s="23"/>
      <c r="J42" s="38"/>
      <c r="K42" s="23"/>
      <c r="L42" s="23"/>
    </row>
    <row r="43" spans="1:15" s="25" customFormat="1" ht="37.9" customHeight="1">
      <c r="A43" s="23"/>
      <c r="B43" s="23"/>
      <c r="C43" s="23"/>
      <c r="D43" s="24"/>
      <c r="E43" s="23"/>
      <c r="F43" s="26"/>
      <c r="G43" s="26"/>
      <c r="H43" s="23"/>
      <c r="I43" s="23"/>
      <c r="J43" s="38"/>
      <c r="K43" s="23"/>
      <c r="L43" s="23"/>
    </row>
    <row r="44" spans="1:15">
      <c r="I44" s="35"/>
    </row>
  </sheetData>
  <mergeCells count="12">
    <mergeCell ref="E2:O2"/>
    <mergeCell ref="A3:N4"/>
    <mergeCell ref="A34:F34"/>
    <mergeCell ref="A35:I35"/>
    <mergeCell ref="A28:I28"/>
    <mergeCell ref="A37:F37"/>
    <mergeCell ref="B38:N40"/>
    <mergeCell ref="N35:O35"/>
    <mergeCell ref="A6:I6"/>
    <mergeCell ref="A27:F27"/>
    <mergeCell ref="K6:M6"/>
    <mergeCell ref="A33:F33"/>
  </mergeCells>
  <printOptions horizontalCentered="1" verticalCentered="1"/>
  <pageMargins left="0.11811023622047245" right="0.11811023622047245" top="0.11811023622047245" bottom="0.11811023622047245" header="0.31496062992125984" footer="0.31496062992125984"/>
  <pageSetup paperSize="9" scale="57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F33"/>
  <sheetViews>
    <sheetView topLeftCell="A13" zoomScale="70" zoomScaleNormal="70" workbookViewId="0">
      <selection activeCell="B20" sqref="B20:B21"/>
    </sheetView>
  </sheetViews>
  <sheetFormatPr defaultRowHeight="15.75"/>
  <cols>
    <col min="1" max="1" width="9.140625" style="61"/>
    <col min="2" max="2" width="81.42578125" style="62" customWidth="1"/>
    <col min="3" max="3" width="36.42578125" style="81" customWidth="1"/>
    <col min="4" max="4" width="40.7109375" style="62" customWidth="1"/>
    <col min="5" max="16384" width="9.140625" style="62"/>
  </cols>
  <sheetData>
    <row r="1" spans="1:5" s="84" customFormat="1" ht="33" customHeight="1">
      <c r="A1" s="82"/>
      <c r="B1" s="83" t="s">
        <v>61</v>
      </c>
      <c r="C1" s="83"/>
      <c r="D1" s="83"/>
    </row>
    <row r="2" spans="1:5" s="84" customFormat="1" ht="33" customHeight="1">
      <c r="A2" s="82"/>
      <c r="B2" s="84" t="s">
        <v>62</v>
      </c>
      <c r="C2" s="85" t="s">
        <v>72</v>
      </c>
    </row>
    <row r="3" spans="1:5" s="61" customFormat="1" ht="63">
      <c r="A3" s="63" t="s">
        <v>4</v>
      </c>
      <c r="B3" s="63" t="s">
        <v>63</v>
      </c>
      <c r="C3" s="63" t="s">
        <v>64</v>
      </c>
      <c r="D3" s="63" t="s">
        <v>65</v>
      </c>
    </row>
    <row r="4" spans="1:5" ht="31.5">
      <c r="A4" s="63">
        <v>1</v>
      </c>
      <c r="B4" s="64" t="s">
        <v>14</v>
      </c>
      <c r="C4" s="65">
        <v>0.32000000000000006</v>
      </c>
      <c r="D4" s="66">
        <v>0.32000000000000006</v>
      </c>
      <c r="E4" s="67"/>
    </row>
    <row r="5" spans="1:5">
      <c r="A5" s="63">
        <f t="shared" ref="A5:A28" si="0">A4+1</f>
        <v>2</v>
      </c>
      <c r="B5" s="64" t="s">
        <v>52</v>
      </c>
      <c r="C5" s="65">
        <v>8.0000000000000016E-2</v>
      </c>
      <c r="D5" s="66">
        <v>8.0000000000000016E-2</v>
      </c>
      <c r="E5" s="67"/>
    </row>
    <row r="6" spans="1:5">
      <c r="A6" s="63">
        <f t="shared" si="0"/>
        <v>3</v>
      </c>
      <c r="B6" s="64" t="s">
        <v>18</v>
      </c>
      <c r="C6" s="65">
        <v>0.15</v>
      </c>
      <c r="D6" s="66">
        <v>0.15</v>
      </c>
      <c r="E6" s="67"/>
    </row>
    <row r="7" spans="1:5">
      <c r="A7" s="63">
        <f t="shared" si="0"/>
        <v>4</v>
      </c>
      <c r="B7" s="64" t="s">
        <v>19</v>
      </c>
      <c r="C7" s="65">
        <v>7.0000000000000007E-2</v>
      </c>
      <c r="D7" s="66">
        <v>7.0000000000000007E-2</v>
      </c>
      <c r="E7" s="67"/>
    </row>
    <row r="8" spans="1:5">
      <c r="A8" s="63">
        <f t="shared" si="0"/>
        <v>5</v>
      </c>
      <c r="B8" s="64" t="s">
        <v>21</v>
      </c>
      <c r="C8" s="68">
        <v>4.0000000000000008E-2</v>
      </c>
      <c r="D8" s="69">
        <v>4.0000000000000008E-2</v>
      </c>
      <c r="E8" s="67"/>
    </row>
    <row r="9" spans="1:5" ht="31.5">
      <c r="A9" s="63">
        <f t="shared" si="0"/>
        <v>6</v>
      </c>
      <c r="B9" s="64" t="s">
        <v>24</v>
      </c>
      <c r="C9" s="68">
        <v>0.19</v>
      </c>
      <c r="D9" s="69">
        <v>0.19</v>
      </c>
      <c r="E9" s="67"/>
    </row>
    <row r="10" spans="1:5">
      <c r="A10" s="63">
        <f t="shared" si="0"/>
        <v>7</v>
      </c>
      <c r="B10" s="64" t="s">
        <v>53</v>
      </c>
      <c r="C10" s="68">
        <v>0.17</v>
      </c>
      <c r="D10" s="69">
        <v>0.17</v>
      </c>
      <c r="E10" s="67"/>
    </row>
    <row r="11" spans="1:5">
      <c r="A11" s="63">
        <f t="shared" si="0"/>
        <v>8</v>
      </c>
      <c r="B11" s="34" t="s">
        <v>28</v>
      </c>
      <c r="C11" s="68">
        <v>0.18</v>
      </c>
      <c r="D11" s="69">
        <v>0.18</v>
      </c>
      <c r="E11" s="70"/>
    </row>
    <row r="12" spans="1:5">
      <c r="A12" s="63">
        <f t="shared" si="0"/>
        <v>9</v>
      </c>
      <c r="B12" s="64" t="s">
        <v>54</v>
      </c>
      <c r="C12" s="68">
        <v>0.5</v>
      </c>
      <c r="D12" s="69">
        <v>0.5</v>
      </c>
      <c r="E12" s="67"/>
    </row>
    <row r="13" spans="1:5">
      <c r="A13" s="63">
        <f t="shared" si="0"/>
        <v>10</v>
      </c>
      <c r="B13" s="64" t="s">
        <v>66</v>
      </c>
      <c r="C13" s="68">
        <v>0.42</v>
      </c>
      <c r="D13" s="69">
        <v>0.42</v>
      </c>
      <c r="E13" s="67"/>
    </row>
    <row r="14" spans="1:5">
      <c r="A14" s="63">
        <f t="shared" si="0"/>
        <v>11</v>
      </c>
      <c r="B14" s="64" t="s">
        <v>30</v>
      </c>
      <c r="C14" s="68">
        <v>0.05</v>
      </c>
      <c r="D14" s="69">
        <v>0.05</v>
      </c>
      <c r="E14" s="67"/>
    </row>
    <row r="15" spans="1:5">
      <c r="A15" s="63">
        <f t="shared" si="0"/>
        <v>12</v>
      </c>
      <c r="B15" s="64" t="s">
        <v>32</v>
      </c>
      <c r="C15" s="68">
        <v>8.0000000000000016E-2</v>
      </c>
      <c r="D15" s="69">
        <v>8.0000000000000016E-2</v>
      </c>
      <c r="E15" s="67"/>
    </row>
    <row r="16" spans="1:5">
      <c r="A16" s="63">
        <f t="shared" si="0"/>
        <v>13</v>
      </c>
      <c r="B16" s="34" t="s">
        <v>33</v>
      </c>
      <c r="C16" s="68">
        <v>0.45</v>
      </c>
      <c r="D16" s="69">
        <v>0.45</v>
      </c>
      <c r="E16" s="70"/>
    </row>
    <row r="17" spans="1:6">
      <c r="A17" s="63">
        <f t="shared" si="0"/>
        <v>14</v>
      </c>
      <c r="B17" s="64" t="s">
        <v>50</v>
      </c>
      <c r="C17" s="68">
        <v>1.27</v>
      </c>
      <c r="D17" s="69">
        <v>1.27</v>
      </c>
      <c r="E17" s="71"/>
    </row>
    <row r="18" spans="1:6">
      <c r="A18" s="63">
        <f t="shared" si="0"/>
        <v>15</v>
      </c>
      <c r="B18" s="64" t="s">
        <v>51</v>
      </c>
      <c r="C18" s="68">
        <v>2.12</v>
      </c>
      <c r="D18" s="69">
        <v>2.12</v>
      </c>
      <c r="E18" s="71"/>
    </row>
    <row r="19" spans="1:6">
      <c r="A19" s="63">
        <f t="shared" si="0"/>
        <v>16</v>
      </c>
      <c r="B19" s="72" t="s">
        <v>67</v>
      </c>
      <c r="C19" s="66">
        <v>0.59</v>
      </c>
      <c r="D19" s="66"/>
      <c r="F19" s="73"/>
    </row>
    <row r="20" spans="1:6" ht="31.5">
      <c r="A20" s="63">
        <f t="shared" si="0"/>
        <v>17</v>
      </c>
      <c r="B20" s="72" t="s">
        <v>75</v>
      </c>
      <c r="C20" s="66">
        <v>0.45</v>
      </c>
      <c r="D20" s="66">
        <v>0.45</v>
      </c>
    </row>
    <row r="21" spans="1:6" ht="33.75" customHeight="1">
      <c r="A21" s="63">
        <f t="shared" si="0"/>
        <v>18</v>
      </c>
      <c r="B21" s="72" t="s">
        <v>76</v>
      </c>
      <c r="C21" s="66">
        <v>0.33</v>
      </c>
      <c r="D21" s="66">
        <v>0.33</v>
      </c>
    </row>
    <row r="22" spans="1:6">
      <c r="A22" s="63">
        <f t="shared" si="0"/>
        <v>19</v>
      </c>
      <c r="B22" s="72" t="s">
        <v>68</v>
      </c>
      <c r="C22" s="66">
        <v>0.25</v>
      </c>
      <c r="D22" s="66">
        <v>0.25</v>
      </c>
    </row>
    <row r="23" spans="1:6">
      <c r="A23" s="63">
        <f t="shared" si="0"/>
        <v>20</v>
      </c>
      <c r="B23" s="72" t="s">
        <v>69</v>
      </c>
      <c r="C23" s="66">
        <v>0.02</v>
      </c>
      <c r="D23" s="66">
        <v>0.02</v>
      </c>
    </row>
    <row r="24" spans="1:6">
      <c r="A24" s="63">
        <f t="shared" si="0"/>
        <v>21</v>
      </c>
      <c r="B24" s="72" t="s">
        <v>38</v>
      </c>
      <c r="C24" s="66">
        <v>2.7562781109445278</v>
      </c>
      <c r="D24" s="66">
        <v>2.7562781109445278</v>
      </c>
    </row>
    <row r="25" spans="1:6">
      <c r="A25" s="63">
        <f t="shared" si="0"/>
        <v>22</v>
      </c>
      <c r="B25" s="72" t="s">
        <v>40</v>
      </c>
      <c r="C25" s="69">
        <v>1.68</v>
      </c>
      <c r="D25" s="69">
        <v>1.68</v>
      </c>
    </row>
    <row r="26" spans="1:6">
      <c r="A26" s="63">
        <f t="shared" si="0"/>
        <v>23</v>
      </c>
      <c r="B26" s="72" t="s">
        <v>41</v>
      </c>
      <c r="C26" s="69">
        <v>0.13</v>
      </c>
      <c r="D26" s="69">
        <v>0.13</v>
      </c>
    </row>
    <row r="27" spans="1:6">
      <c r="A27" s="63">
        <f t="shared" si="0"/>
        <v>24</v>
      </c>
      <c r="B27" s="72" t="s">
        <v>43</v>
      </c>
      <c r="C27" s="69">
        <v>1.23</v>
      </c>
      <c r="D27" s="69">
        <v>1.23</v>
      </c>
    </row>
    <row r="28" spans="1:6">
      <c r="A28" s="63">
        <f t="shared" si="0"/>
        <v>25</v>
      </c>
      <c r="B28" s="72" t="s">
        <v>44</v>
      </c>
      <c r="C28" s="66">
        <v>3.12</v>
      </c>
      <c r="D28" s="66">
        <v>3.12</v>
      </c>
    </row>
    <row r="29" spans="1:6">
      <c r="A29" s="74"/>
      <c r="B29" s="75" t="s">
        <v>70</v>
      </c>
      <c r="C29" s="76">
        <f>SUM(C4:C28)</f>
        <v>16.646278110944529</v>
      </c>
      <c r="D29" s="76">
        <f>SUM(D4:D28)</f>
        <v>16.056278110944529</v>
      </c>
    </row>
    <row r="30" spans="1:6" ht="31.5">
      <c r="A30" s="74"/>
      <c r="B30" s="72" t="s">
        <v>71</v>
      </c>
      <c r="C30" s="113">
        <f>C29-D29</f>
        <v>0.58999999999999986</v>
      </c>
      <c r="D30" s="114"/>
    </row>
    <row r="31" spans="1:6">
      <c r="A31" s="77"/>
      <c r="B31" s="78"/>
      <c r="C31" s="79"/>
      <c r="D31" s="80"/>
    </row>
    <row r="32" spans="1:6">
      <c r="A32" s="77"/>
      <c r="B32" s="78"/>
      <c r="C32" s="79"/>
      <c r="D32" s="78"/>
    </row>
    <row r="33" spans="1:4">
      <c r="A33" s="77"/>
      <c r="B33" s="78" t="s">
        <v>73</v>
      </c>
      <c r="C33" s="79" t="s">
        <v>74</v>
      </c>
      <c r="D33" s="78"/>
    </row>
  </sheetData>
  <mergeCells count="1">
    <mergeCell ref="C30:D30"/>
  </mergeCells>
  <pageMargins left="0.70866141732283472" right="0.70866141732283472" top="0.74803149606299213" bottom="0.74803149606299213" header="0.31496062992125984" footer="0.31496062992125984"/>
  <pageSetup paperSize="9" scale="75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Лист1</vt:lpstr>
      <vt:lpstr>Лист2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2026-02-17T07:08:59Z</dcterms:modified>
</cp:coreProperties>
</file>