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</sheets>
  <definedNames>
    <definedName name="_xlnm.Print_Area" localSheetId="0">Лист1!$A$1:$S$40</definedName>
  </definedNames>
  <calcPr calcId="125725"/>
</workbook>
</file>

<file path=xl/calcChain.xml><?xml version="1.0" encoding="utf-8"?>
<calcChain xmlns="http://schemas.openxmlformats.org/spreadsheetml/2006/main">
  <c r="R30" i="1"/>
  <c r="D32"/>
  <c r="D31"/>
  <c r="H32"/>
  <c r="I32" s="1"/>
  <c r="J32" s="1"/>
  <c r="Q32" s="1"/>
  <c r="R31"/>
  <c r="R32"/>
  <c r="R25"/>
  <c r="R26"/>
  <c r="R24"/>
  <c r="D23"/>
  <c r="R9"/>
  <c r="R10"/>
  <c r="R11"/>
  <c r="R12"/>
  <c r="R13"/>
  <c r="R14"/>
  <c r="R15"/>
  <c r="R16"/>
  <c r="R17"/>
  <c r="R18"/>
  <c r="R19"/>
  <c r="R20"/>
  <c r="R21"/>
  <c r="R22"/>
  <c r="R8"/>
  <c r="R23"/>
  <c r="K37"/>
  <c r="L37"/>
  <c r="M37"/>
  <c r="N37"/>
  <c r="O37"/>
  <c r="P37"/>
  <c r="K34"/>
  <c r="L34"/>
  <c r="M34"/>
  <c r="N34"/>
  <c r="O34"/>
  <c r="P34"/>
  <c r="K33"/>
  <c r="L33"/>
  <c r="M33"/>
  <c r="N33"/>
  <c r="O33"/>
  <c r="P33"/>
  <c r="Q30"/>
  <c r="K27"/>
  <c r="L27"/>
  <c r="M27"/>
  <c r="N27"/>
  <c r="O27"/>
  <c r="P27"/>
  <c r="Q9"/>
  <c r="Q10"/>
  <c r="Q11"/>
  <c r="Q12"/>
  <c r="Q13"/>
  <c r="Q14"/>
  <c r="Q15"/>
  <c r="Q16"/>
  <c r="Q17"/>
  <c r="Q18"/>
  <c r="Q19"/>
  <c r="Q20"/>
  <c r="Q21"/>
  <c r="Q22"/>
  <c r="Q24"/>
  <c r="Q25"/>
  <c r="Q26"/>
  <c r="Q8"/>
  <c r="D29" i="2"/>
  <c r="C29"/>
  <c r="C30" s="1"/>
  <c r="A5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H20" i="1"/>
  <c r="I20"/>
  <c r="J20" s="1"/>
  <c r="H21"/>
  <c r="I21" s="1"/>
  <c r="J21" s="1"/>
  <c r="H22"/>
  <c r="I22"/>
  <c r="J22" s="1"/>
  <c r="L22"/>
  <c r="M22" s="1"/>
  <c r="L21"/>
  <c r="M21"/>
  <c r="H36"/>
  <c r="I36"/>
  <c r="J36" s="1"/>
  <c r="I30"/>
  <c r="J30"/>
  <c r="A32"/>
  <c r="H33"/>
  <c r="H8"/>
  <c r="I8" s="1"/>
  <c r="H9"/>
  <c r="I9" s="1"/>
  <c r="J9" s="1"/>
  <c r="H10"/>
  <c r="I10"/>
  <c r="J10" s="1"/>
  <c r="H11"/>
  <c r="I11" s="1"/>
  <c r="J11" s="1"/>
  <c r="H12"/>
  <c r="I12"/>
  <c r="J12" s="1"/>
  <c r="H13"/>
  <c r="I13" s="1"/>
  <c r="J13" s="1"/>
  <c r="H14"/>
  <c r="I14"/>
  <c r="J14" s="1"/>
  <c r="H15"/>
  <c r="I15" s="1"/>
  <c r="J15" s="1"/>
  <c r="H16"/>
  <c r="I16"/>
  <c r="J16" s="1"/>
  <c r="H17"/>
  <c r="I17" s="1"/>
  <c r="J17" s="1"/>
  <c r="H18"/>
  <c r="I18"/>
  <c r="J18" s="1"/>
  <c r="H19"/>
  <c r="I19" s="1"/>
  <c r="J19" s="1"/>
  <c r="H23"/>
  <c r="I23" s="1"/>
  <c r="J23" s="1"/>
  <c r="Q23" s="1"/>
  <c r="H24"/>
  <c r="I24" s="1"/>
  <c r="J24" s="1"/>
  <c r="H25"/>
  <c r="I25"/>
  <c r="J25" s="1"/>
  <c r="H26"/>
  <c r="I26" s="1"/>
  <c r="J26" s="1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H31" l="1"/>
  <c r="I31" s="1"/>
  <c r="J31" s="1"/>
  <c r="Q31" s="1"/>
  <c r="Q33" s="1"/>
  <c r="R33"/>
  <c r="R34" s="1"/>
  <c r="R37" s="1"/>
  <c r="Q27"/>
  <c r="I27"/>
  <c r="J8"/>
  <c r="J27" s="1"/>
  <c r="H27"/>
  <c r="J33" l="1"/>
  <c r="J34" s="1"/>
  <c r="J37" s="1"/>
  <c r="I33"/>
  <c r="I34" s="1"/>
  <c r="G34" s="1"/>
  <c r="G37" s="1"/>
  <c r="Q34"/>
  <c r="Q37" s="1"/>
</calcChain>
</file>

<file path=xl/sharedStrings.xml><?xml version="1.0" encoding="utf-8"?>
<sst xmlns="http://schemas.openxmlformats.org/spreadsheetml/2006/main" count="142" uniqueCount="85">
  <si>
    <t>Приложение № ___  к договору управления МКД</t>
  </si>
  <si>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</si>
  <si>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</si>
  <si>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</si>
  <si>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</si>
  <si>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</si>
  <si>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</si>
  <si>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</si>
  <si>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</si>
  <si>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</si>
  <si>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</si>
  <si>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</si>
  <si>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</si>
  <si>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</si>
  <si>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</si>
  <si>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</si>
  <si>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</si>
  <si>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</si>
  <si>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</si>
  <si>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</si>
  <si>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</si>
  <si>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</si>
  <si>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</si>
  <si>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</si>
  <si>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</si>
  <si>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</si>
  <si>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</si>
  <si>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</si>
  <si>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</si>
  <si>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</si>
  <si>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</si>
  <si>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</si>
  <si>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</si>
  <si>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</si>
  <si>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</si>
  <si>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</si>
  <si>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</si>
  <si>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</si>
  <si>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</si>
  <si>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</si>
  <si>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</si>
  <si>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</si>
  <si>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</si>
  <si>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 xml:space="preserve">Примечание: </t>
  </si>
  <si>
    <t>Осмотр наружных конструкций кирпичного или каменного дома</t>
  </si>
  <si>
    <t>убрать при печати</t>
  </si>
  <si>
    <t>Стоимость на 1 кв м общ. пл.</t>
  </si>
  <si>
    <t>Площадь ОИ</t>
  </si>
  <si>
    <t>г. Рязань ул. Новаторов д. 19 корп. 3</t>
  </si>
  <si>
    <t>данный расчет (плата за содержание) устанавливается на указанный срок, в случае, если собственниками МКД не принимается Приложение № 1 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</si>
  <si>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Осмотр технических этажей, чердаков и подвальных помещений</t>
  </si>
  <si>
    <t xml:space="preserve">Осмотр мест общего пользования </t>
  </si>
  <si>
    <t xml:space="preserve">Аварийное обслуживание, непредвиденные работы </t>
  </si>
  <si>
    <t xml:space="preserve">Уборка лестничных площадок и маршей </t>
  </si>
  <si>
    <t xml:space="preserve">Подметание прилегающей территории </t>
  </si>
  <si>
    <t>постоянно</t>
  </si>
  <si>
    <t>Периодичность</t>
  </si>
  <si>
    <t>Замер сопротивления изоляции</t>
  </si>
  <si>
    <t>Итого:</t>
  </si>
  <si>
    <t>КРСОИ</t>
  </si>
  <si>
    <t>Тариф на 1м2/мес. в руб. без КРСОИ</t>
  </si>
  <si>
    <t>3 раза в год-вентканалы в МКД с газовыми приборами, раз в год-в МКД с электроплитами</t>
  </si>
  <si>
    <t>Информация об исключении из платы за содержание жилого помещения стоимости услуг по сбору, вывозу, утилизации ТКО</t>
  </si>
  <si>
    <t>многоквартирный дом</t>
  </si>
  <si>
    <t>Структура платы за содержание жилого помещения</t>
  </si>
  <si>
    <t>Размер платы за содержание жилогопомещения до исключения стоимости услуг по сбору, вывозу, утилизации ТКО (руб/м2)</t>
  </si>
  <si>
    <t>Размер платы за содержание жилогопомещения после исключения стоимости услуг по сбору, вывозу, утилизации ТКО (руб/м2)</t>
  </si>
  <si>
    <t>Осмотр мест общего пользования</t>
  </si>
  <si>
    <t>Аварийное обслуживание, непредвиденные работы</t>
  </si>
  <si>
    <t>Дежурство слесарей, электриков</t>
  </si>
  <si>
    <t>Сбор, вывоз и утилизация ТКО</t>
  </si>
  <si>
    <t>Вывоз древесных отходов</t>
  </si>
  <si>
    <t xml:space="preserve">Стоимость утилизации (захоронения) древесных отходов </t>
  </si>
  <si>
    <t>Всего</t>
  </si>
  <si>
    <t>Величина стоимости услуг по сбору, вывозу, утилизации ТКО, которая исключена из платы за содержание жилого помешения</t>
  </si>
  <si>
    <t xml:space="preserve"> ул. Новаторов д. 19 корп. 3</t>
  </si>
  <si>
    <t>Заместитель директора</t>
  </si>
  <si>
    <t>Сучкова Н.С.</t>
  </si>
  <si>
    <t>Уборка контейнерной площадки, подъездных путей и прилегающей территории</t>
  </si>
  <si>
    <t>Содержание и оборудование контейнерной площадки, подъездных путей и прилегающей территории</t>
  </si>
  <si>
    <t xml:space="preserve">Подметание прилегающей территории, содержание и уборка контейнерных площадок </t>
  </si>
  <si>
    <t xml:space="preserve">Тариф с КРСОИ </t>
  </si>
  <si>
    <t xml:space="preserve"> </t>
  </si>
  <si>
    <t>Коммунальные ресурсы потребляемые в целях содержания общего имущества в многоквартирном доме (КРСОИ) с 01.07.2024</t>
  </si>
  <si>
    <t>Расчет платы за услуги (работы)  по содержанию,управлению и текущему ремонту  общего имущества многоквартирного дома  с 01.02.2025г.(Перечень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</si>
</sst>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5">
    <font>
      <sz val="11"/>
      <color theme="1"/>
      <name val="Calibri"/>
      <family val="2"/>
      <scheme val="minor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sz val="13"/>
      <name val="Times New Roman"/>
      <family val="1"/>
      <charset val="204"/>
    </font>
    <font>
      <b/>
      <sz val="12"/>
      <name val="Cambria"/>
      <family val="1"/>
      <charset val="204"/>
    </font>
    <font>
      <sz val="12"/>
      <name val="Times New Roman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2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7" fillId="0" borderId="0" xfId="0" applyFont="1"/>
    <xf numFmtId="0" fontId="8" fillId="0" borderId="0" xfId="0" applyFont="1" applyFill="1" applyAlignment="1">
      <alignment horizontal="right"/>
    </xf>
    <xf numFmtId="0" fontId="7" fillId="2" borderId="0" xfId="0" applyFont="1" applyFill="1"/>
    <xf numFmtId="0" fontId="9" fillId="0" borderId="0" xfId="0" applyFont="1" applyBorder="1" applyAlignment="1">
      <alignment horizontal="center" vertical="center" wrapText="1"/>
    </xf>
    <xf numFmtId="2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justify" wrapText="1"/>
    </xf>
    <xf numFmtId="0" fontId="7" fillId="0" borderId="1" xfId="0" applyFont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/>
    <xf numFmtId="0" fontId="8" fillId="0" borderId="0" xfId="0" applyFont="1" applyFill="1" applyBorder="1" applyAlignment="1">
      <alignment horizontal="center"/>
    </xf>
    <xf numFmtId="0" fontId="7" fillId="0" borderId="0" xfId="0" applyFont="1" applyFill="1"/>
    <xf numFmtId="0" fontId="3" fillId="0" borderId="1" xfId="0" applyFont="1" applyBorder="1" applyAlignment="1">
      <alignment horizontal="justify" vertical="center" wrapText="1"/>
    </xf>
    <xf numFmtId="0" fontId="11" fillId="0" borderId="0" xfId="0" applyFont="1" applyFill="1" applyBorder="1" applyAlignment="1">
      <alignment horizontal="left" vertical="center" wrapText="1"/>
    </xf>
    <xf numFmtId="4" fontId="7" fillId="0" borderId="0" xfId="0" applyNumberFormat="1" applyFont="1" applyAlignment="1">
      <alignment horizontal="center" vertical="center"/>
    </xf>
    <xf numFmtId="4" fontId="7" fillId="2" borderId="0" xfId="0" applyNumberFormat="1" applyFont="1" applyFill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left" wrapText="1"/>
    </xf>
    <xf numFmtId="0" fontId="9" fillId="2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8" fillId="2" borderId="0" xfId="0" applyFont="1" applyFill="1"/>
    <xf numFmtId="4" fontId="9" fillId="3" borderId="2" xfId="0" applyNumberFormat="1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/>
    </xf>
    <xf numFmtId="4" fontId="8" fillId="3" borderId="1" xfId="0" applyNumberFormat="1" applyFont="1" applyFill="1" applyBorder="1" applyAlignment="1">
      <alignment horizontal="center" vertical="center"/>
    </xf>
    <xf numFmtId="4" fontId="9" fillId="3" borderId="2" xfId="0" applyNumberFormat="1" applyFont="1" applyFill="1" applyBorder="1" applyAlignment="1">
      <alignment horizontal="right"/>
    </xf>
    <xf numFmtId="0" fontId="7" fillId="0" borderId="4" xfId="0" applyFont="1" applyBorder="1" applyAlignment="1">
      <alignment horizontal="justify" wrapText="1"/>
    </xf>
    <xf numFmtId="4" fontId="9" fillId="2" borderId="0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" fontId="3" fillId="3" borderId="1" xfId="0" applyNumberFormat="1" applyFont="1" applyFill="1" applyBorder="1" applyAlignment="1">
      <alignment horizontal="center"/>
    </xf>
    <xf numFmtId="4" fontId="5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justify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2" fontId="6" fillId="0" borderId="1" xfId="0" applyNumberFormat="1" applyFont="1" applyBorder="1" applyAlignment="1">
      <alignment vertical="center" wrapText="1"/>
    </xf>
    <xf numFmtId="2" fontId="12" fillId="0" borderId="0" xfId="0" applyNumberFormat="1" applyFont="1"/>
    <xf numFmtId="0" fontId="6" fillId="2" borderId="1" xfId="0" applyFont="1" applyFill="1" applyBorder="1" applyAlignment="1">
      <alignment horizontal="justify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justify" wrapText="1"/>
    </xf>
    <xf numFmtId="0" fontId="1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justify" wrapText="1"/>
    </xf>
    <xf numFmtId="2" fontId="6" fillId="0" borderId="1" xfId="0" applyNumberFormat="1" applyFont="1" applyFill="1" applyBorder="1" applyAlignment="1">
      <alignment vertical="center" wrapText="1"/>
    </xf>
    <xf numFmtId="0" fontId="12" fillId="0" borderId="1" xfId="0" applyFont="1" applyBorder="1"/>
    <xf numFmtId="2" fontId="12" fillId="0" borderId="1" xfId="0" applyNumberFormat="1" applyFont="1" applyBorder="1" applyAlignme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/>
    <xf numFmtId="0" fontId="1" fillId="0" borderId="1" xfId="0" applyFont="1" applyBorder="1" applyAlignment="1">
      <alignment horizontal="justify" vertical="center" wrapText="1"/>
    </xf>
    <xf numFmtId="164" fontId="7" fillId="0" borderId="1" xfId="0" applyNumberFormat="1" applyFont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7" fillId="4" borderId="1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/>
    </xf>
    <xf numFmtId="0" fontId="9" fillId="3" borderId="1" xfId="0" applyFont="1" applyFill="1" applyBorder="1" applyAlignment="1">
      <alignment horizontal="right"/>
    </xf>
    <xf numFmtId="0" fontId="7" fillId="0" borderId="0" xfId="0" applyFont="1" applyFill="1" applyAlignment="1">
      <alignment horizontal="left"/>
    </xf>
    <xf numFmtId="0" fontId="0" fillId="0" borderId="0" xfId="0" applyAlignment="1"/>
    <xf numFmtId="0" fontId="9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left" vertical="top" wrapText="1"/>
    </xf>
    <xf numFmtId="0" fontId="0" fillId="0" borderId="8" xfId="0" applyBorder="1" applyAlignment="1">
      <alignment vertical="top"/>
    </xf>
    <xf numFmtId="0" fontId="7" fillId="0" borderId="0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2" fillId="3" borderId="2" xfId="0" applyFont="1" applyFill="1" applyBorder="1" applyAlignment="1">
      <alignment horizontal="right"/>
    </xf>
    <xf numFmtId="0" fontId="5" fillId="3" borderId="3" xfId="0" applyFont="1" applyFill="1" applyBorder="1" applyAlignment="1">
      <alignment horizontal="right"/>
    </xf>
    <xf numFmtId="0" fontId="5" fillId="3" borderId="6" xfId="0" applyFont="1" applyFill="1" applyBorder="1" applyAlignment="1">
      <alignment horizontal="right"/>
    </xf>
    <xf numFmtId="2" fontId="9" fillId="0" borderId="7" xfId="0" applyNumberFormat="1" applyFont="1" applyFill="1" applyBorder="1" applyAlignment="1">
      <alignment horizontal="center" vertical="center"/>
    </xf>
    <xf numFmtId="0" fontId="9" fillId="0" borderId="0" xfId="0" applyFont="1" applyFill="1" applyAlignment="1"/>
    <xf numFmtId="0" fontId="14" fillId="2" borderId="0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right"/>
    </xf>
    <xf numFmtId="2" fontId="12" fillId="0" borderId="2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3"/>
  <sheetViews>
    <sheetView tabSelected="1" view="pageBreakPreview" topLeftCell="A19" zoomScale="75" zoomScaleNormal="85" zoomScaleSheetLayoutView="75" workbookViewId="0">
      <selection activeCell="S36" sqref="S36"/>
    </sheetView>
  </sheetViews>
  <sheetFormatPr defaultColWidth="8.85546875" defaultRowHeight="15.75"/>
  <cols>
    <col min="1" max="1" width="16.28515625" style="1" customWidth="1"/>
    <col min="2" max="2" width="48" style="1" customWidth="1"/>
    <col min="3" max="3" width="22.5703125" style="1" customWidth="1"/>
    <col min="4" max="4" width="14.7109375" style="1" customWidth="1"/>
    <col min="5" max="5" width="12.42578125" style="1" customWidth="1"/>
    <col min="6" max="6" width="23.140625" style="26" customWidth="1"/>
    <col min="7" max="7" width="16.7109375" style="26" hidden="1" customWidth="1"/>
    <col min="8" max="9" width="15.5703125" style="29" hidden="1" customWidth="1"/>
    <col min="10" max="10" width="17.28515625" style="29" hidden="1" customWidth="1"/>
    <col min="11" max="11" width="12.85546875" style="29" hidden="1" customWidth="1"/>
    <col min="12" max="12" width="18.85546875" style="29" hidden="1" customWidth="1"/>
    <col min="13" max="13" width="15.5703125" style="29" hidden="1" customWidth="1"/>
    <col min="14" max="16" width="9.140625" style="1" hidden="1" customWidth="1"/>
    <col min="17" max="17" width="21.5703125" style="1" hidden="1" customWidth="1"/>
    <col min="18" max="18" width="16.7109375" style="83" customWidth="1"/>
    <col min="19" max="16384" width="8.85546875" style="1"/>
  </cols>
  <sheetData>
    <row r="1" spans="1:19">
      <c r="B1" s="1" t="s">
        <v>82</v>
      </c>
      <c r="F1" s="2"/>
      <c r="G1" s="2"/>
    </row>
    <row r="2" spans="1:19">
      <c r="E2" s="88" t="s">
        <v>0</v>
      </c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spans="1:19" s="3" customFormat="1" ht="18.75" customHeight="1">
      <c r="A3" s="90" t="s">
        <v>84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1"/>
    </row>
    <row r="4" spans="1:19" s="3" customFormat="1" ht="42" customHeight="1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1"/>
    </row>
    <row r="5" spans="1:19" ht="24.75" customHeight="1">
      <c r="A5" s="4"/>
      <c r="B5" s="4" t="s">
        <v>48</v>
      </c>
      <c r="C5" s="4" t="s">
        <v>1</v>
      </c>
      <c r="D5" s="5">
        <v>3895</v>
      </c>
      <c r="E5" s="5">
        <v>3895</v>
      </c>
      <c r="F5" s="6"/>
      <c r="G5" s="6"/>
      <c r="H5" s="31"/>
      <c r="I5" s="31"/>
      <c r="K5" s="31"/>
      <c r="L5" s="31"/>
    </row>
    <row r="6" spans="1:19" ht="20.25" customHeight="1">
      <c r="A6" s="86" t="s">
        <v>2</v>
      </c>
      <c r="B6" s="86"/>
      <c r="C6" s="86"/>
      <c r="D6" s="86"/>
      <c r="E6" s="86"/>
      <c r="F6" s="86"/>
      <c r="G6" s="86"/>
      <c r="H6" s="86"/>
      <c r="I6" s="86"/>
      <c r="K6" s="92" t="s">
        <v>45</v>
      </c>
      <c r="L6" s="92"/>
      <c r="M6" s="92"/>
    </row>
    <row r="7" spans="1:19" ht="53.45" customHeight="1">
      <c r="A7" s="7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8" t="s">
        <v>56</v>
      </c>
      <c r="G7" s="9"/>
      <c r="H7" s="12" t="s">
        <v>9</v>
      </c>
      <c r="I7" s="12" t="s">
        <v>8</v>
      </c>
      <c r="J7" s="12" t="s">
        <v>46</v>
      </c>
      <c r="K7" s="33" t="s">
        <v>47</v>
      </c>
      <c r="L7" s="33"/>
      <c r="M7" s="32"/>
      <c r="N7" s="28"/>
      <c r="O7" s="28"/>
      <c r="P7" s="28"/>
      <c r="Q7" s="12" t="s">
        <v>46</v>
      </c>
      <c r="R7" s="12" t="s">
        <v>46</v>
      </c>
    </row>
    <row r="8" spans="1:19" ht="63">
      <c r="A8" s="7">
        <v>1</v>
      </c>
      <c r="B8" s="10" t="s">
        <v>13</v>
      </c>
      <c r="C8" s="7" t="s">
        <v>14</v>
      </c>
      <c r="D8" s="11">
        <v>0.33</v>
      </c>
      <c r="E8" s="11">
        <v>3895</v>
      </c>
      <c r="F8" s="8" t="s">
        <v>15</v>
      </c>
      <c r="G8" s="8">
        <v>12</v>
      </c>
      <c r="H8" s="12">
        <f t="shared" ref="H8:H26" si="0">D8*E8</f>
        <v>1285.3500000000001</v>
      </c>
      <c r="I8" s="12">
        <f t="shared" ref="I8:I26" si="1">H8*G8</f>
        <v>15424.2</v>
      </c>
      <c r="J8" s="34">
        <f>I8/G8/E8</f>
        <v>0.33</v>
      </c>
      <c r="K8" s="33"/>
      <c r="L8" s="33"/>
      <c r="M8" s="34"/>
      <c r="Q8" s="80">
        <f>J8*1.04</f>
        <v>0.34320000000000001</v>
      </c>
      <c r="R8" s="13">
        <f>Q8*1.0296*1.092*1.072*1.09</f>
        <v>0.45087871608299529</v>
      </c>
    </row>
    <row r="9" spans="1:19" ht="63">
      <c r="A9" s="7">
        <f t="shared" ref="A9:A26" si="2">A8+1</f>
        <v>2</v>
      </c>
      <c r="B9" s="10" t="s">
        <v>50</v>
      </c>
      <c r="C9" s="7" t="s">
        <v>14</v>
      </c>
      <c r="D9" s="11">
        <v>0.08</v>
      </c>
      <c r="E9" s="11">
        <v>3895</v>
      </c>
      <c r="F9" s="8" t="s">
        <v>15</v>
      </c>
      <c r="G9" s="8">
        <v>12</v>
      </c>
      <c r="H9" s="12">
        <f t="shared" si="0"/>
        <v>311.60000000000002</v>
      </c>
      <c r="I9" s="12">
        <f t="shared" si="1"/>
        <v>3739.2000000000003</v>
      </c>
      <c r="J9" s="34">
        <f t="shared" ref="J9:J26" si="3">I9/G9/E9</f>
        <v>0.08</v>
      </c>
      <c r="K9" s="33"/>
      <c r="L9" s="33"/>
      <c r="M9" s="34"/>
      <c r="Q9" s="80">
        <f t="shared" ref="Q9:Q26" si="4">J9*1.04</f>
        <v>8.320000000000001E-2</v>
      </c>
      <c r="R9" s="13">
        <f t="shared" ref="R9:R22" si="5">Q9*1.0296*1.092*1.072*1.09</f>
        <v>0.10930393117163524</v>
      </c>
    </row>
    <row r="10" spans="1:19" ht="63">
      <c r="A10" s="7">
        <f t="shared" si="2"/>
        <v>3</v>
      </c>
      <c r="B10" s="10" t="s">
        <v>17</v>
      </c>
      <c r="C10" s="7" t="s">
        <v>16</v>
      </c>
      <c r="D10" s="11">
        <v>0.16</v>
      </c>
      <c r="E10" s="11">
        <v>3895</v>
      </c>
      <c r="F10" s="8" t="s">
        <v>15</v>
      </c>
      <c r="G10" s="8">
        <v>12</v>
      </c>
      <c r="H10" s="12">
        <f t="shared" si="0"/>
        <v>623.20000000000005</v>
      </c>
      <c r="I10" s="12">
        <f t="shared" si="1"/>
        <v>7478.4000000000005</v>
      </c>
      <c r="J10" s="34">
        <f t="shared" si="3"/>
        <v>0.16</v>
      </c>
      <c r="K10" s="33"/>
      <c r="L10" s="33"/>
      <c r="M10" s="34"/>
      <c r="Q10" s="80">
        <f t="shared" si="4"/>
        <v>0.16640000000000002</v>
      </c>
      <c r="R10" s="13">
        <f t="shared" si="5"/>
        <v>0.21860786234327048</v>
      </c>
    </row>
    <row r="11" spans="1:19" ht="30" customHeight="1">
      <c r="A11" s="7">
        <f t="shared" si="2"/>
        <v>4</v>
      </c>
      <c r="B11" s="10" t="s">
        <v>18</v>
      </c>
      <c r="C11" s="7" t="s">
        <v>19</v>
      </c>
      <c r="D11" s="11">
        <v>7.0000000000000007E-2</v>
      </c>
      <c r="E11" s="11">
        <v>3895</v>
      </c>
      <c r="F11" s="8" t="s">
        <v>15</v>
      </c>
      <c r="G11" s="8">
        <v>12</v>
      </c>
      <c r="H11" s="12">
        <f t="shared" si="0"/>
        <v>272.65000000000003</v>
      </c>
      <c r="I11" s="12">
        <f t="shared" si="1"/>
        <v>3271.8</v>
      </c>
      <c r="J11" s="34">
        <f t="shared" si="3"/>
        <v>7.0000000000000007E-2</v>
      </c>
      <c r="K11" s="33"/>
      <c r="L11" s="33"/>
      <c r="M11" s="34"/>
      <c r="Q11" s="80">
        <f t="shared" si="4"/>
        <v>7.2800000000000004E-2</v>
      </c>
      <c r="R11" s="13">
        <f t="shared" si="5"/>
        <v>9.564093977518083E-2</v>
      </c>
    </row>
    <row r="12" spans="1:19" ht="78.75">
      <c r="A12" s="7">
        <f t="shared" si="2"/>
        <v>5</v>
      </c>
      <c r="B12" s="10" t="s">
        <v>20</v>
      </c>
      <c r="C12" s="7" t="s">
        <v>21</v>
      </c>
      <c r="D12" s="11">
        <v>0.04</v>
      </c>
      <c r="E12" s="11">
        <v>3895</v>
      </c>
      <c r="F12" s="8" t="s">
        <v>15</v>
      </c>
      <c r="G12" s="8">
        <v>12</v>
      </c>
      <c r="H12" s="12">
        <f t="shared" si="0"/>
        <v>155.80000000000001</v>
      </c>
      <c r="I12" s="12">
        <f t="shared" si="1"/>
        <v>1869.6000000000001</v>
      </c>
      <c r="J12" s="34">
        <f t="shared" si="3"/>
        <v>0.04</v>
      </c>
      <c r="K12" s="33"/>
      <c r="L12" s="33"/>
      <c r="M12" s="34"/>
      <c r="Q12" s="80">
        <f t="shared" si="4"/>
        <v>4.1600000000000005E-2</v>
      </c>
      <c r="R12" s="13">
        <f t="shared" si="5"/>
        <v>5.465196558581762E-2</v>
      </c>
    </row>
    <row r="13" spans="1:19" ht="63">
      <c r="A13" s="7">
        <f t="shared" si="2"/>
        <v>6</v>
      </c>
      <c r="B13" s="10" t="s">
        <v>23</v>
      </c>
      <c r="C13" s="7" t="s">
        <v>24</v>
      </c>
      <c r="D13" s="11">
        <v>0.2</v>
      </c>
      <c r="E13" s="11">
        <v>3895</v>
      </c>
      <c r="F13" s="8" t="s">
        <v>15</v>
      </c>
      <c r="G13" s="8">
        <v>12</v>
      </c>
      <c r="H13" s="12">
        <f t="shared" si="0"/>
        <v>779</v>
      </c>
      <c r="I13" s="12">
        <f t="shared" si="1"/>
        <v>9348</v>
      </c>
      <c r="J13" s="34">
        <f t="shared" si="3"/>
        <v>0.2</v>
      </c>
      <c r="K13" s="33"/>
      <c r="L13" s="33"/>
      <c r="M13" s="34"/>
      <c r="Q13" s="80">
        <f t="shared" si="4"/>
        <v>0.20800000000000002</v>
      </c>
      <c r="R13" s="13">
        <f t="shared" si="5"/>
        <v>0.27325982792908809</v>
      </c>
    </row>
    <row r="14" spans="1:19" ht="63">
      <c r="A14" s="7">
        <f t="shared" si="2"/>
        <v>7</v>
      </c>
      <c r="B14" s="10" t="s">
        <v>51</v>
      </c>
      <c r="C14" s="7" t="s">
        <v>26</v>
      </c>
      <c r="D14" s="11">
        <v>0.18000000000000002</v>
      </c>
      <c r="E14" s="11">
        <v>3895</v>
      </c>
      <c r="F14" s="8" t="s">
        <v>15</v>
      </c>
      <c r="G14" s="8">
        <v>12</v>
      </c>
      <c r="H14" s="12">
        <f t="shared" si="0"/>
        <v>701.10000000000014</v>
      </c>
      <c r="I14" s="12">
        <f t="shared" si="1"/>
        <v>8413.2000000000007</v>
      </c>
      <c r="J14" s="34">
        <f t="shared" si="3"/>
        <v>0.18</v>
      </c>
      <c r="K14" s="33"/>
      <c r="L14" s="33"/>
      <c r="M14" s="34"/>
      <c r="Q14" s="80">
        <f t="shared" si="4"/>
        <v>0.18720000000000001</v>
      </c>
      <c r="R14" s="13">
        <f t="shared" si="5"/>
        <v>0.24593384513617927</v>
      </c>
    </row>
    <row r="15" spans="1:19" ht="63">
      <c r="A15" s="7">
        <f t="shared" si="2"/>
        <v>8</v>
      </c>
      <c r="B15" s="27" t="s">
        <v>44</v>
      </c>
      <c r="C15" s="7" t="s">
        <v>26</v>
      </c>
      <c r="D15" s="11">
        <v>0.19</v>
      </c>
      <c r="E15" s="11">
        <v>3895</v>
      </c>
      <c r="F15" s="8" t="s">
        <v>15</v>
      </c>
      <c r="G15" s="8">
        <v>12</v>
      </c>
      <c r="H15" s="12">
        <f t="shared" si="0"/>
        <v>740.05</v>
      </c>
      <c r="I15" s="12">
        <f t="shared" si="1"/>
        <v>8880.5999999999985</v>
      </c>
      <c r="J15" s="34">
        <f t="shared" si="3"/>
        <v>0.18999999999999995</v>
      </c>
      <c r="K15" s="33"/>
      <c r="L15" s="33"/>
      <c r="M15" s="34"/>
      <c r="Q15" s="80">
        <f t="shared" si="4"/>
        <v>0.19759999999999994</v>
      </c>
      <c r="R15" s="13">
        <f t="shared" si="5"/>
        <v>0.2595968365326336</v>
      </c>
    </row>
    <row r="16" spans="1:19" ht="33" customHeight="1">
      <c r="A16" s="7">
        <f t="shared" si="2"/>
        <v>9</v>
      </c>
      <c r="B16" s="10" t="s">
        <v>52</v>
      </c>
      <c r="C16" s="7" t="s">
        <v>14</v>
      </c>
      <c r="D16" s="11">
        <v>0.52</v>
      </c>
      <c r="E16" s="11">
        <v>3895</v>
      </c>
      <c r="F16" s="14" t="s">
        <v>55</v>
      </c>
      <c r="G16" s="8">
        <v>12</v>
      </c>
      <c r="H16" s="12">
        <f t="shared" si="0"/>
        <v>2025.4</v>
      </c>
      <c r="I16" s="12">
        <f t="shared" si="1"/>
        <v>24304.800000000003</v>
      </c>
      <c r="J16" s="34">
        <f t="shared" si="3"/>
        <v>0.52000000000000013</v>
      </c>
      <c r="K16" s="33"/>
      <c r="L16" s="33"/>
      <c r="M16" s="34"/>
      <c r="Q16" s="80">
        <f t="shared" si="4"/>
        <v>0.54080000000000017</v>
      </c>
      <c r="R16" s="13">
        <f t="shared" si="5"/>
        <v>0.71047555261562922</v>
      </c>
    </row>
    <row r="17" spans="1:18" ht="33" customHeight="1">
      <c r="A17" s="7">
        <f t="shared" si="2"/>
        <v>10</v>
      </c>
      <c r="B17" s="10" t="s">
        <v>27</v>
      </c>
      <c r="C17" s="7" t="s">
        <v>14</v>
      </c>
      <c r="D17" s="11">
        <v>0.44</v>
      </c>
      <c r="E17" s="11">
        <v>3895</v>
      </c>
      <c r="F17" s="14" t="s">
        <v>55</v>
      </c>
      <c r="G17" s="8">
        <v>12</v>
      </c>
      <c r="H17" s="12">
        <f t="shared" si="0"/>
        <v>1713.8</v>
      </c>
      <c r="I17" s="12">
        <f t="shared" si="1"/>
        <v>20565.599999999999</v>
      </c>
      <c r="J17" s="34">
        <f t="shared" si="3"/>
        <v>0.44</v>
      </c>
      <c r="K17" s="33"/>
      <c r="L17" s="33"/>
      <c r="M17" s="34"/>
      <c r="Q17" s="80">
        <f t="shared" si="4"/>
        <v>0.45760000000000001</v>
      </c>
      <c r="R17" s="13">
        <f t="shared" si="5"/>
        <v>0.60117162144399383</v>
      </c>
    </row>
    <row r="18" spans="1:18" ht="41.25" customHeight="1">
      <c r="A18" s="7">
        <f t="shared" si="2"/>
        <v>11</v>
      </c>
      <c r="B18" s="10" t="s">
        <v>28</v>
      </c>
      <c r="C18" s="7" t="s">
        <v>26</v>
      </c>
      <c r="D18" s="11">
        <v>0.05</v>
      </c>
      <c r="E18" s="11">
        <v>3895</v>
      </c>
      <c r="F18" s="8" t="s">
        <v>29</v>
      </c>
      <c r="G18" s="8">
        <v>12</v>
      </c>
      <c r="H18" s="12">
        <f t="shared" si="0"/>
        <v>194.75</v>
      </c>
      <c r="I18" s="12">
        <f t="shared" si="1"/>
        <v>2337</v>
      </c>
      <c r="J18" s="34">
        <f t="shared" si="3"/>
        <v>0.05</v>
      </c>
      <c r="K18" s="33"/>
      <c r="L18" s="33"/>
      <c r="M18" s="34"/>
      <c r="Q18" s="80">
        <f t="shared" si="4"/>
        <v>5.2000000000000005E-2</v>
      </c>
      <c r="R18" s="13">
        <f t="shared" si="5"/>
        <v>6.8314956982272024E-2</v>
      </c>
    </row>
    <row r="19" spans="1:18" ht="81.599999999999994" customHeight="1">
      <c r="A19" s="7">
        <f t="shared" si="2"/>
        <v>12</v>
      </c>
      <c r="B19" s="10" t="s">
        <v>30</v>
      </c>
      <c r="C19" s="7" t="s">
        <v>26</v>
      </c>
      <c r="D19" s="11">
        <v>0.08</v>
      </c>
      <c r="E19" s="11">
        <v>3895</v>
      </c>
      <c r="F19" s="8" t="s">
        <v>61</v>
      </c>
      <c r="G19" s="8">
        <v>12</v>
      </c>
      <c r="H19" s="12">
        <f t="shared" si="0"/>
        <v>311.60000000000002</v>
      </c>
      <c r="I19" s="12">
        <f t="shared" si="1"/>
        <v>3739.2000000000003</v>
      </c>
      <c r="J19" s="34">
        <f t="shared" si="3"/>
        <v>0.08</v>
      </c>
      <c r="K19" s="33"/>
      <c r="L19" s="33"/>
      <c r="M19" s="34"/>
      <c r="Q19" s="80">
        <f t="shared" si="4"/>
        <v>8.320000000000001E-2</v>
      </c>
      <c r="R19" s="13">
        <f t="shared" si="5"/>
        <v>0.10930393117163524</v>
      </c>
    </row>
    <row r="20" spans="1:18" ht="16.5">
      <c r="A20" s="7">
        <f t="shared" si="2"/>
        <v>13</v>
      </c>
      <c r="B20" s="40" t="s">
        <v>57</v>
      </c>
      <c r="C20" s="7" t="s">
        <v>31</v>
      </c>
      <c r="D20" s="11">
        <v>0.26</v>
      </c>
      <c r="E20" s="11">
        <v>3895</v>
      </c>
      <c r="F20" s="8" t="s">
        <v>22</v>
      </c>
      <c r="G20" s="8">
        <v>12</v>
      </c>
      <c r="H20" s="12">
        <f t="shared" si="0"/>
        <v>1012.7</v>
      </c>
      <c r="I20" s="12">
        <f t="shared" si="1"/>
        <v>12152.400000000001</v>
      </c>
      <c r="J20" s="34">
        <f t="shared" si="3"/>
        <v>0.26000000000000006</v>
      </c>
      <c r="K20" s="33"/>
      <c r="L20" s="33"/>
      <c r="M20" s="34"/>
      <c r="Q20" s="80">
        <f t="shared" si="4"/>
        <v>0.27040000000000008</v>
      </c>
      <c r="R20" s="13">
        <f t="shared" si="5"/>
        <v>0.35523777630781461</v>
      </c>
    </row>
    <row r="21" spans="1:18" ht="31.5">
      <c r="A21" s="7">
        <f t="shared" si="2"/>
        <v>14</v>
      </c>
      <c r="B21" s="27" t="s">
        <v>53</v>
      </c>
      <c r="C21" s="7" t="s">
        <v>32</v>
      </c>
      <c r="D21" s="11">
        <v>2.04</v>
      </c>
      <c r="E21" s="11">
        <v>3895</v>
      </c>
      <c r="F21" s="14" t="s">
        <v>55</v>
      </c>
      <c r="G21" s="8">
        <v>12</v>
      </c>
      <c r="H21" s="12">
        <f t="shared" si="0"/>
        <v>7945.8</v>
      </c>
      <c r="I21" s="12">
        <f t="shared" si="1"/>
        <v>95349.6</v>
      </c>
      <c r="J21" s="34">
        <f t="shared" si="3"/>
        <v>2.04</v>
      </c>
      <c r="K21" s="33">
        <v>636.4</v>
      </c>
      <c r="L21" s="33">
        <f>(5887.64+797+42.41)*12</f>
        <v>80724.600000000006</v>
      </c>
      <c r="M21" s="34">
        <f>L21*0.06+L21</f>
        <v>85568.076000000001</v>
      </c>
      <c r="Q21" s="80">
        <f t="shared" si="4"/>
        <v>2.1215999999999999</v>
      </c>
      <c r="R21" s="13">
        <f t="shared" si="5"/>
        <v>2.7872502448766983</v>
      </c>
    </row>
    <row r="22" spans="1:18" ht="47.25">
      <c r="A22" s="7">
        <f t="shared" si="2"/>
        <v>15</v>
      </c>
      <c r="B22" s="79" t="s">
        <v>80</v>
      </c>
      <c r="C22" s="7" t="s">
        <v>33</v>
      </c>
      <c r="D22" s="11">
        <v>3.09</v>
      </c>
      <c r="E22" s="11">
        <v>3895</v>
      </c>
      <c r="F22" s="8" t="s">
        <v>34</v>
      </c>
      <c r="G22" s="8">
        <v>12</v>
      </c>
      <c r="H22" s="12">
        <f t="shared" si="0"/>
        <v>12035.55</v>
      </c>
      <c r="I22" s="12">
        <f t="shared" si="1"/>
        <v>144426.59999999998</v>
      </c>
      <c r="J22" s="34">
        <f t="shared" si="3"/>
        <v>3.0899999999999994</v>
      </c>
      <c r="K22" s="33">
        <v>1692</v>
      </c>
      <c r="L22" s="33">
        <f>(5618.13+797+488.82)*12</f>
        <v>82847.399999999994</v>
      </c>
      <c r="M22" s="34">
        <f>L22*0.06+L22</f>
        <v>87818.243999999992</v>
      </c>
      <c r="Q22" s="80">
        <f t="shared" si="4"/>
        <v>3.2135999999999996</v>
      </c>
      <c r="R22" s="13">
        <f t="shared" si="5"/>
        <v>4.2218643415044097</v>
      </c>
    </row>
    <row r="23" spans="1:18" ht="31.5">
      <c r="A23" s="7">
        <f t="shared" si="2"/>
        <v>16</v>
      </c>
      <c r="B23" s="15" t="s">
        <v>35</v>
      </c>
      <c r="C23" s="16" t="s">
        <v>36</v>
      </c>
      <c r="D23" s="85">
        <f>5961.66*1.09</f>
        <v>6498.2094000000006</v>
      </c>
      <c r="E23" s="11">
        <v>2</v>
      </c>
      <c r="F23" s="14" t="s">
        <v>55</v>
      </c>
      <c r="G23" s="8">
        <v>12</v>
      </c>
      <c r="H23" s="12">
        <f t="shared" si="0"/>
        <v>12996.418800000001</v>
      </c>
      <c r="I23" s="12">
        <f t="shared" si="1"/>
        <v>155957.02560000002</v>
      </c>
      <c r="J23" s="34">
        <f>I23/G23/D5</f>
        <v>3.3366928883183573</v>
      </c>
      <c r="K23" s="33"/>
      <c r="L23" s="33"/>
      <c r="M23" s="34"/>
      <c r="Q23" s="80">
        <f t="shared" si="4"/>
        <v>3.4701606038510917</v>
      </c>
      <c r="R23" s="13">
        <f>D23*E23/E22</f>
        <v>3.3366928883183573</v>
      </c>
    </row>
    <row r="24" spans="1:18">
      <c r="A24" s="7">
        <f t="shared" si="2"/>
        <v>17</v>
      </c>
      <c r="B24" s="15" t="s">
        <v>37</v>
      </c>
      <c r="C24" s="16" t="s">
        <v>14</v>
      </c>
      <c r="D24" s="11">
        <v>1.74</v>
      </c>
      <c r="E24" s="11">
        <v>3895</v>
      </c>
      <c r="F24" s="14" t="s">
        <v>55</v>
      </c>
      <c r="G24" s="8">
        <v>12</v>
      </c>
      <c r="H24" s="12">
        <f t="shared" si="0"/>
        <v>6777.3</v>
      </c>
      <c r="I24" s="12">
        <f t="shared" si="1"/>
        <v>81327.600000000006</v>
      </c>
      <c r="J24" s="34">
        <f t="shared" si="3"/>
        <v>1.74</v>
      </c>
      <c r="K24" s="33"/>
      <c r="L24" s="33"/>
      <c r="M24" s="34"/>
      <c r="Q24" s="80">
        <f t="shared" si="4"/>
        <v>1.8096000000000001</v>
      </c>
      <c r="R24" s="13">
        <f>Q24*1.0296*1.092*1.072*1.09</f>
        <v>2.3773605029830662</v>
      </c>
    </row>
    <row r="25" spans="1:18">
      <c r="A25" s="7">
        <f t="shared" si="2"/>
        <v>18</v>
      </c>
      <c r="B25" s="15" t="s">
        <v>38</v>
      </c>
      <c r="C25" s="16" t="s">
        <v>39</v>
      </c>
      <c r="D25" s="11">
        <v>0.24000000000000002</v>
      </c>
      <c r="E25" s="11">
        <v>3895</v>
      </c>
      <c r="F25" s="14" t="s">
        <v>55</v>
      </c>
      <c r="G25" s="8">
        <v>12</v>
      </c>
      <c r="H25" s="12">
        <f t="shared" si="0"/>
        <v>934.80000000000007</v>
      </c>
      <c r="I25" s="12">
        <f t="shared" si="1"/>
        <v>11217.6</v>
      </c>
      <c r="J25" s="34">
        <f t="shared" si="3"/>
        <v>0.24000000000000002</v>
      </c>
      <c r="K25" s="33"/>
      <c r="L25" s="33"/>
      <c r="M25" s="34"/>
      <c r="Q25" s="80">
        <f t="shared" si="4"/>
        <v>0.24960000000000002</v>
      </c>
      <c r="R25" s="13">
        <f t="shared" ref="R25:R26" si="6">Q25*1.0296*1.092*1.072*1.09</f>
        <v>0.32791179351490568</v>
      </c>
    </row>
    <row r="26" spans="1:18" ht="48.75" customHeight="1">
      <c r="A26" s="7">
        <f t="shared" si="2"/>
        <v>19</v>
      </c>
      <c r="B26" s="53" t="s">
        <v>40</v>
      </c>
      <c r="C26" s="13" t="s">
        <v>14</v>
      </c>
      <c r="D26" s="11">
        <v>1.3800000000000001</v>
      </c>
      <c r="E26" s="11">
        <v>3895</v>
      </c>
      <c r="F26" s="14" t="s">
        <v>55</v>
      </c>
      <c r="G26" s="8">
        <v>12</v>
      </c>
      <c r="H26" s="12">
        <f t="shared" si="0"/>
        <v>5375.1</v>
      </c>
      <c r="I26" s="12">
        <f t="shared" si="1"/>
        <v>64501.200000000004</v>
      </c>
      <c r="J26" s="34">
        <f t="shared" si="3"/>
        <v>1.3800000000000001</v>
      </c>
      <c r="K26" s="33"/>
      <c r="L26" s="33"/>
      <c r="M26" s="34"/>
      <c r="Q26" s="80">
        <f t="shared" si="4"/>
        <v>1.4352000000000003</v>
      </c>
      <c r="R26" s="13">
        <f t="shared" si="6"/>
        <v>1.8854928127107082</v>
      </c>
    </row>
    <row r="27" spans="1:18" s="41" customFormat="1">
      <c r="A27" s="87" t="s">
        <v>58</v>
      </c>
      <c r="B27" s="87"/>
      <c r="C27" s="87"/>
      <c r="D27" s="87"/>
      <c r="E27" s="87"/>
      <c r="F27" s="87"/>
      <c r="G27" s="48"/>
      <c r="H27" s="49">
        <f>SUM(H8:H26)</f>
        <v>56191.96880000001</v>
      </c>
      <c r="I27" s="49">
        <f>SUM(I8:I26)</f>
        <v>674303.62559999991</v>
      </c>
      <c r="J27" s="49">
        <f>SUM(J8:J26)</f>
        <v>14.426692888318358</v>
      </c>
      <c r="K27" s="49">
        <f t="shared" ref="K27:Q27" si="7">SUM(K8:K26)</f>
        <v>2328.4</v>
      </c>
      <c r="L27" s="49">
        <f t="shared" si="7"/>
        <v>163572</v>
      </c>
      <c r="M27" s="49">
        <f t="shared" si="7"/>
        <v>173386.32</v>
      </c>
      <c r="N27" s="49">
        <f t="shared" si="7"/>
        <v>0</v>
      </c>
      <c r="O27" s="49">
        <f t="shared" si="7"/>
        <v>0</v>
      </c>
      <c r="P27" s="49">
        <f t="shared" si="7"/>
        <v>0</v>
      </c>
      <c r="Q27" s="49">
        <f t="shared" si="7"/>
        <v>15.00376060385109</v>
      </c>
      <c r="R27" s="49">
        <v>17.670000000000002</v>
      </c>
    </row>
    <row r="28" spans="1:18" s="3" customFormat="1">
      <c r="A28" s="102" t="s">
        <v>41</v>
      </c>
      <c r="B28" s="102"/>
      <c r="C28" s="102"/>
      <c r="D28" s="102"/>
      <c r="E28" s="102"/>
      <c r="F28" s="102"/>
      <c r="G28" s="102"/>
      <c r="H28" s="102"/>
      <c r="I28" s="102"/>
      <c r="J28" s="30"/>
      <c r="K28" s="30"/>
      <c r="L28" s="30"/>
      <c r="M28" s="30"/>
      <c r="Q28" s="82"/>
      <c r="R28" s="17"/>
    </row>
    <row r="29" spans="1:18" s="3" customFormat="1" ht="56.25" customHeight="1">
      <c r="A29" s="42" t="s">
        <v>3</v>
      </c>
      <c r="B29" s="42" t="s">
        <v>4</v>
      </c>
      <c r="C29" s="42" t="s">
        <v>5</v>
      </c>
      <c r="D29" s="42" t="s">
        <v>6</v>
      </c>
      <c r="E29" s="42" t="s">
        <v>7</v>
      </c>
      <c r="F29" s="43" t="s">
        <v>56</v>
      </c>
      <c r="G29" s="43"/>
      <c r="H29" s="36" t="s">
        <v>9</v>
      </c>
      <c r="I29" s="36" t="s">
        <v>8</v>
      </c>
      <c r="J29" s="36" t="s">
        <v>46</v>
      </c>
      <c r="K29" s="36"/>
      <c r="L29" s="36"/>
      <c r="M29" s="35"/>
      <c r="Q29" s="12" t="s">
        <v>46</v>
      </c>
      <c r="R29" s="12" t="s">
        <v>46</v>
      </c>
    </row>
    <row r="30" spans="1:18" s="3" customFormat="1" ht="28.15" customHeight="1">
      <c r="A30" s="42">
        <v>1</v>
      </c>
      <c r="B30" s="44" t="s">
        <v>41</v>
      </c>
      <c r="C30" s="45"/>
      <c r="D30" s="18">
        <v>3.61</v>
      </c>
      <c r="E30" s="42">
        <v>3895</v>
      </c>
      <c r="F30" s="43" t="s">
        <v>42</v>
      </c>
      <c r="G30" s="43">
        <v>12</v>
      </c>
      <c r="H30" s="36"/>
      <c r="I30" s="36">
        <f>D30*E30*G30</f>
        <v>168731.4</v>
      </c>
      <c r="J30" s="35">
        <f>I30/G30/E30</f>
        <v>3.61</v>
      </c>
      <c r="K30" s="36"/>
      <c r="L30" s="36"/>
      <c r="M30" s="35"/>
      <c r="Q30" s="82">
        <f>J30*1.04</f>
        <v>3.7544</v>
      </c>
      <c r="R30" s="13">
        <f>(Q30*1.0296*1.092*1.072+1.27)*1.09+1.6</f>
        <v>7.9166398941200384</v>
      </c>
    </row>
    <row r="31" spans="1:18" s="3" customFormat="1" ht="36.6" customHeight="1">
      <c r="A31" s="42">
        <v>2</v>
      </c>
      <c r="B31" s="46" t="s">
        <v>10</v>
      </c>
      <c r="C31" s="42" t="s">
        <v>11</v>
      </c>
      <c r="D31" s="85">
        <f>16.41*1.072*1.083</f>
        <v>19.051616160000002</v>
      </c>
      <c r="E31" s="18">
        <v>1680</v>
      </c>
      <c r="F31" s="43" t="s">
        <v>42</v>
      </c>
      <c r="G31" s="43">
        <v>1</v>
      </c>
      <c r="H31" s="36">
        <f>D31*E31</f>
        <v>32006.715148800002</v>
      </c>
      <c r="I31" s="36">
        <f>H31*G31</f>
        <v>32006.715148800002</v>
      </c>
      <c r="J31" s="35">
        <f>I31/12/E30</f>
        <v>0.68478209560975611</v>
      </c>
      <c r="K31" s="36"/>
      <c r="L31" s="36"/>
      <c r="M31" s="35"/>
      <c r="Q31" s="82">
        <f t="shared" ref="Q31:Q32" si="8">J31*1.04</f>
        <v>0.71217337943414638</v>
      </c>
      <c r="R31" s="13">
        <f>D31*E31/E30/12</f>
        <v>0.68478209560975623</v>
      </c>
    </row>
    <row r="32" spans="1:18" s="3" customFormat="1" ht="34.5" customHeight="1">
      <c r="A32" s="42">
        <f>A31+1</f>
        <v>3</v>
      </c>
      <c r="B32" s="46" t="s">
        <v>12</v>
      </c>
      <c r="C32" s="42" t="s">
        <v>11</v>
      </c>
      <c r="D32" s="85">
        <f>11.88*1.072*1.083</f>
        <v>13.792394880000002</v>
      </c>
      <c r="E32" s="18">
        <v>1680</v>
      </c>
      <c r="F32" s="43" t="s">
        <v>42</v>
      </c>
      <c r="G32" s="43">
        <v>1</v>
      </c>
      <c r="H32" s="36">
        <f>D32*E32</f>
        <v>23171.223398400001</v>
      </c>
      <c r="I32" s="36">
        <f>H32*G32</f>
        <v>23171.223398400001</v>
      </c>
      <c r="J32" s="35">
        <f>I32/12/E30</f>
        <v>0.49574718439024396</v>
      </c>
      <c r="K32" s="36"/>
      <c r="L32" s="36"/>
      <c r="M32" s="35"/>
      <c r="Q32" s="82">
        <f t="shared" si="8"/>
        <v>0.51557707176585377</v>
      </c>
      <c r="R32" s="13">
        <f>D32*E32/E30/12</f>
        <v>0.4957471843902439</v>
      </c>
    </row>
    <row r="33" spans="1:19" s="47" customFormat="1">
      <c r="A33" s="103" t="s">
        <v>58</v>
      </c>
      <c r="B33" s="103"/>
      <c r="C33" s="103"/>
      <c r="D33" s="103"/>
      <c r="E33" s="103"/>
      <c r="F33" s="103"/>
      <c r="G33" s="50"/>
      <c r="H33" s="51">
        <f>H30</f>
        <v>0</v>
      </c>
      <c r="I33" s="51">
        <f>SUM(I30:I32)</f>
        <v>223909.33854719999</v>
      </c>
      <c r="J33" s="51">
        <f>SUM(J30:J32)</f>
        <v>4.7905292800000003</v>
      </c>
      <c r="K33" s="51">
        <f t="shared" ref="K33:R33" si="9">SUM(K30:K32)</f>
        <v>0</v>
      </c>
      <c r="L33" s="51">
        <f t="shared" si="9"/>
        <v>0</v>
      </c>
      <c r="M33" s="51">
        <f t="shared" si="9"/>
        <v>0</v>
      </c>
      <c r="N33" s="51">
        <f t="shared" si="9"/>
        <v>0</v>
      </c>
      <c r="O33" s="51">
        <f t="shared" si="9"/>
        <v>0</v>
      </c>
      <c r="P33" s="51">
        <f t="shared" si="9"/>
        <v>0</v>
      </c>
      <c r="Q33" s="51">
        <f t="shared" si="9"/>
        <v>4.9821504512000008</v>
      </c>
      <c r="R33" s="51">
        <f t="shared" si="9"/>
        <v>9.0971691741200384</v>
      </c>
    </row>
    <row r="34" spans="1:19" s="41" customFormat="1">
      <c r="A34" s="87" t="s">
        <v>60</v>
      </c>
      <c r="B34" s="87"/>
      <c r="C34" s="87"/>
      <c r="D34" s="87"/>
      <c r="E34" s="87"/>
      <c r="F34" s="87"/>
      <c r="G34" s="52">
        <f>I34/G30/E30</f>
        <v>19.217222168318354</v>
      </c>
      <c r="H34" s="49"/>
      <c r="I34" s="49">
        <f>I27+I33</f>
        <v>898212.96414719988</v>
      </c>
      <c r="J34" s="49">
        <f>J27+J33</f>
        <v>19.217222168318358</v>
      </c>
      <c r="K34" s="49">
        <f t="shared" ref="K34:R34" si="10">K27+K33</f>
        <v>2328.4</v>
      </c>
      <c r="L34" s="49">
        <f t="shared" si="10"/>
        <v>163572</v>
      </c>
      <c r="M34" s="49">
        <f t="shared" si="10"/>
        <v>173386.32</v>
      </c>
      <c r="N34" s="49">
        <f t="shared" si="10"/>
        <v>0</v>
      </c>
      <c r="O34" s="49">
        <f t="shared" si="10"/>
        <v>0</v>
      </c>
      <c r="P34" s="49">
        <f t="shared" si="10"/>
        <v>0</v>
      </c>
      <c r="Q34" s="49">
        <f t="shared" si="10"/>
        <v>19.985911055051091</v>
      </c>
      <c r="R34" s="49">
        <f t="shared" si="10"/>
        <v>26.767169174120042</v>
      </c>
    </row>
    <row r="35" spans="1:19" s="41" customFormat="1">
      <c r="A35" s="102" t="s">
        <v>59</v>
      </c>
      <c r="B35" s="102"/>
      <c r="C35" s="102"/>
      <c r="D35" s="102"/>
      <c r="E35" s="102"/>
      <c r="F35" s="102"/>
      <c r="G35" s="102"/>
      <c r="H35" s="102"/>
      <c r="I35" s="102"/>
      <c r="J35" s="30"/>
      <c r="K35" s="54"/>
      <c r="L35" s="54"/>
      <c r="M35" s="54"/>
      <c r="Q35" s="81"/>
      <c r="R35" s="100"/>
      <c r="S35" s="101"/>
    </row>
    <row r="36" spans="1:19" s="41" customFormat="1" ht="63">
      <c r="A36" s="7">
        <v>1</v>
      </c>
      <c r="B36" s="59" t="s">
        <v>83</v>
      </c>
      <c r="C36" s="17" t="s">
        <v>14</v>
      </c>
      <c r="D36" s="18">
        <v>2.98</v>
      </c>
      <c r="E36" s="11">
        <v>3895</v>
      </c>
      <c r="F36" s="14" t="s">
        <v>25</v>
      </c>
      <c r="G36" s="8">
        <v>12</v>
      </c>
      <c r="H36" s="12">
        <f>D36*E36</f>
        <v>11607.1</v>
      </c>
      <c r="I36" s="12">
        <f>H36*G36</f>
        <v>139285.20000000001</v>
      </c>
      <c r="J36" s="34">
        <f>I36/G36/E36</f>
        <v>2.98</v>
      </c>
      <c r="K36" s="54"/>
      <c r="L36" s="54"/>
      <c r="M36" s="54"/>
      <c r="Q36" s="81">
        <v>2.98</v>
      </c>
      <c r="R36" s="81">
        <v>3.68</v>
      </c>
    </row>
    <row r="37" spans="1:19" s="41" customFormat="1">
      <c r="A37" s="97" t="s">
        <v>81</v>
      </c>
      <c r="B37" s="98"/>
      <c r="C37" s="98"/>
      <c r="D37" s="98"/>
      <c r="E37" s="98"/>
      <c r="F37" s="99"/>
      <c r="G37" s="55">
        <f>G34+D36</f>
        <v>22.197222168318355</v>
      </c>
      <c r="H37" s="56"/>
      <c r="I37" s="57"/>
      <c r="J37" s="58">
        <f>J36+J34</f>
        <v>22.197222168318358</v>
      </c>
      <c r="K37" s="58">
        <f t="shared" ref="K37:R37" si="11">K36+K34</f>
        <v>2328.4</v>
      </c>
      <c r="L37" s="58">
        <f t="shared" si="11"/>
        <v>163572</v>
      </c>
      <c r="M37" s="58">
        <f t="shared" si="11"/>
        <v>173386.32</v>
      </c>
      <c r="N37" s="58">
        <f t="shared" si="11"/>
        <v>0</v>
      </c>
      <c r="O37" s="58">
        <f t="shared" si="11"/>
        <v>0</v>
      </c>
      <c r="P37" s="58">
        <f t="shared" si="11"/>
        <v>0</v>
      </c>
      <c r="Q37" s="58">
        <f t="shared" si="11"/>
        <v>22.965911055051091</v>
      </c>
      <c r="R37" s="58">
        <f t="shared" si="11"/>
        <v>30.447169174120042</v>
      </c>
    </row>
    <row r="38" spans="1:19" ht="13.15" customHeight="1">
      <c r="A38" s="19" t="s">
        <v>43</v>
      </c>
      <c r="B38" s="93" t="s">
        <v>49</v>
      </c>
      <c r="C38" s="93"/>
      <c r="D38" s="93"/>
      <c r="E38" s="93"/>
      <c r="F38" s="93"/>
      <c r="G38" s="93"/>
      <c r="H38" s="93"/>
      <c r="I38" s="93"/>
      <c r="J38" s="94"/>
      <c r="K38" s="94"/>
      <c r="L38" s="94"/>
      <c r="M38" s="94"/>
      <c r="N38" s="94"/>
      <c r="O38" s="94"/>
      <c r="P38" s="94"/>
      <c r="Q38" s="94"/>
      <c r="R38" s="94"/>
    </row>
    <row r="39" spans="1:19">
      <c r="A39" s="20"/>
      <c r="B39" s="95"/>
      <c r="C39" s="95"/>
      <c r="D39" s="95"/>
      <c r="E39" s="95"/>
      <c r="F39" s="95"/>
      <c r="G39" s="95"/>
      <c r="H39" s="95"/>
      <c r="I39" s="95"/>
      <c r="J39" s="96"/>
      <c r="K39" s="96"/>
      <c r="L39" s="96"/>
      <c r="M39" s="96"/>
      <c r="N39" s="96"/>
      <c r="O39" s="96"/>
      <c r="P39" s="96"/>
      <c r="Q39" s="96"/>
      <c r="R39" s="96"/>
    </row>
    <row r="40" spans="1:19" ht="49.5" customHeight="1">
      <c r="A40" s="20"/>
      <c r="B40" s="95"/>
      <c r="C40" s="95"/>
      <c r="D40" s="95"/>
      <c r="E40" s="95"/>
      <c r="F40" s="95"/>
      <c r="G40" s="95"/>
      <c r="H40" s="95"/>
      <c r="I40" s="95"/>
      <c r="J40" s="96"/>
      <c r="K40" s="96"/>
      <c r="L40" s="96"/>
      <c r="M40" s="96"/>
      <c r="N40" s="96"/>
      <c r="O40" s="96"/>
      <c r="P40" s="96"/>
      <c r="Q40" s="96"/>
      <c r="R40" s="96"/>
    </row>
    <row r="41" spans="1:19">
      <c r="A41" s="20"/>
      <c r="B41" s="20"/>
      <c r="C41" s="20"/>
      <c r="D41" s="20"/>
      <c r="E41" s="20"/>
      <c r="F41" s="21"/>
      <c r="G41" s="21"/>
      <c r="H41" s="37"/>
      <c r="I41" s="37"/>
      <c r="K41" s="37"/>
      <c r="L41" s="37"/>
    </row>
    <row r="42" spans="1:19" s="24" customFormat="1">
      <c r="A42" s="22"/>
      <c r="B42" s="23"/>
      <c r="C42" s="22"/>
      <c r="D42" s="23"/>
      <c r="F42" s="25"/>
      <c r="G42" s="25"/>
      <c r="H42" s="38"/>
      <c r="I42" s="38"/>
      <c r="J42" s="39"/>
      <c r="K42" s="38"/>
      <c r="L42" s="38"/>
      <c r="M42" s="39"/>
      <c r="R42" s="84"/>
    </row>
    <row r="43" spans="1:19" s="24" customFormat="1" ht="37.9" customHeight="1">
      <c r="A43" s="22"/>
      <c r="B43" s="22"/>
      <c r="C43" s="22"/>
      <c r="D43" s="23"/>
      <c r="E43" s="22"/>
      <c r="F43" s="25"/>
      <c r="G43" s="25"/>
      <c r="H43" s="38"/>
      <c r="I43" s="38"/>
      <c r="J43" s="39"/>
      <c r="K43" s="38"/>
      <c r="L43" s="38"/>
      <c r="M43" s="39"/>
      <c r="R43" s="84"/>
    </row>
  </sheetData>
  <mergeCells count="12">
    <mergeCell ref="B38:R40"/>
    <mergeCell ref="A37:F37"/>
    <mergeCell ref="A34:F34"/>
    <mergeCell ref="R35:S35"/>
    <mergeCell ref="A28:I28"/>
    <mergeCell ref="A33:F33"/>
    <mergeCell ref="A35:I35"/>
    <mergeCell ref="A6:I6"/>
    <mergeCell ref="A27:F27"/>
    <mergeCell ref="E2:S2"/>
    <mergeCell ref="A3:R4"/>
    <mergeCell ref="K6:M6"/>
  </mergeCells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topLeftCell="A7" workbookViewId="0">
      <selection activeCell="D20" sqref="D20:D23"/>
    </sheetView>
  </sheetViews>
  <sheetFormatPr defaultRowHeight="15.75"/>
  <cols>
    <col min="1" max="1" width="9.140625" style="60"/>
    <col min="2" max="2" width="81.42578125" style="61" customWidth="1"/>
    <col min="3" max="3" width="36.42578125" style="62" customWidth="1"/>
    <col min="4" max="4" width="40.7109375" style="61" customWidth="1"/>
    <col min="5" max="16384" width="9.140625" style="61"/>
  </cols>
  <sheetData>
    <row r="1" spans="1:4" s="77" customFormat="1" ht="33" customHeight="1">
      <c r="A1" s="75"/>
      <c r="B1" s="76" t="s">
        <v>62</v>
      </c>
      <c r="C1" s="76"/>
      <c r="D1" s="76"/>
    </row>
    <row r="2" spans="1:4" s="77" customFormat="1" ht="33" customHeight="1">
      <c r="A2" s="75"/>
      <c r="B2" s="77" t="s">
        <v>63</v>
      </c>
      <c r="C2" s="78" t="s">
        <v>75</v>
      </c>
    </row>
    <row r="3" spans="1:4" s="60" customFormat="1" ht="63">
      <c r="A3" s="63" t="s">
        <v>3</v>
      </c>
      <c r="B3" s="63" t="s">
        <v>64</v>
      </c>
      <c r="C3" s="63" t="s">
        <v>65</v>
      </c>
      <c r="D3" s="63" t="s">
        <v>66</v>
      </c>
    </row>
    <row r="4" spans="1:4" ht="31.5">
      <c r="A4" s="63">
        <v>1</v>
      </c>
      <c r="B4" s="64" t="s">
        <v>13</v>
      </c>
      <c r="C4" s="65">
        <v>0.32</v>
      </c>
      <c r="D4" s="65">
        <v>0.32</v>
      </c>
    </row>
    <row r="5" spans="1:4">
      <c r="A5" s="63">
        <f t="shared" ref="A5:A28" si="0">A4+1</f>
        <v>2</v>
      </c>
      <c r="B5" s="67" t="s">
        <v>50</v>
      </c>
      <c r="C5" s="65">
        <v>0.08</v>
      </c>
      <c r="D5" s="65">
        <v>0.08</v>
      </c>
    </row>
    <row r="6" spans="1:4">
      <c r="A6" s="63">
        <f t="shared" si="0"/>
        <v>3</v>
      </c>
      <c r="B6" s="64" t="s">
        <v>17</v>
      </c>
      <c r="C6" s="65">
        <v>0.15</v>
      </c>
      <c r="D6" s="65">
        <v>0.15</v>
      </c>
    </row>
    <row r="7" spans="1:4">
      <c r="A7" s="63">
        <f t="shared" si="0"/>
        <v>4</v>
      </c>
      <c r="B7" s="64" t="s">
        <v>18</v>
      </c>
      <c r="C7" s="65">
        <v>7.0000000000000007E-2</v>
      </c>
      <c r="D7" s="65">
        <v>7.0000000000000007E-2</v>
      </c>
    </row>
    <row r="8" spans="1:4">
      <c r="A8" s="63">
        <f t="shared" si="0"/>
        <v>5</v>
      </c>
      <c r="B8" s="64" t="s">
        <v>20</v>
      </c>
      <c r="C8" s="68">
        <v>0.04</v>
      </c>
      <c r="D8" s="68">
        <v>0.04</v>
      </c>
    </row>
    <row r="9" spans="1:4" ht="31.5">
      <c r="A9" s="63">
        <f t="shared" si="0"/>
        <v>6</v>
      </c>
      <c r="B9" s="64" t="s">
        <v>23</v>
      </c>
      <c r="C9" s="68">
        <v>0.18999999999999995</v>
      </c>
      <c r="D9" s="68">
        <v>0.18999999999999995</v>
      </c>
    </row>
    <row r="10" spans="1:4">
      <c r="A10" s="63">
        <f t="shared" si="0"/>
        <v>7</v>
      </c>
      <c r="B10" s="64" t="s">
        <v>67</v>
      </c>
      <c r="C10" s="68">
        <v>0.17</v>
      </c>
      <c r="D10" s="68">
        <v>0.17</v>
      </c>
    </row>
    <row r="11" spans="1:4">
      <c r="A11" s="63">
        <f t="shared" si="0"/>
        <v>8</v>
      </c>
      <c r="B11" s="64" t="s">
        <v>44</v>
      </c>
      <c r="C11" s="68">
        <v>0.18</v>
      </c>
      <c r="D11" s="68">
        <v>0.18</v>
      </c>
    </row>
    <row r="12" spans="1:4">
      <c r="A12" s="63">
        <f t="shared" si="0"/>
        <v>9</v>
      </c>
      <c r="B12" s="64" t="s">
        <v>68</v>
      </c>
      <c r="C12" s="68">
        <v>0.5</v>
      </c>
      <c r="D12" s="68">
        <v>0.5</v>
      </c>
    </row>
    <row r="13" spans="1:4">
      <c r="A13" s="63">
        <f t="shared" si="0"/>
        <v>10</v>
      </c>
      <c r="B13" s="64" t="s">
        <v>69</v>
      </c>
      <c r="C13" s="68">
        <v>0.42</v>
      </c>
      <c r="D13" s="68">
        <v>0.42</v>
      </c>
    </row>
    <row r="14" spans="1:4">
      <c r="A14" s="63">
        <f t="shared" si="0"/>
        <v>11</v>
      </c>
      <c r="B14" s="64" t="s">
        <v>28</v>
      </c>
      <c r="C14" s="68">
        <v>0.05</v>
      </c>
      <c r="D14" s="68">
        <v>0.05</v>
      </c>
    </row>
    <row r="15" spans="1:4">
      <c r="A15" s="63">
        <f t="shared" si="0"/>
        <v>12</v>
      </c>
      <c r="B15" s="64" t="s">
        <v>30</v>
      </c>
      <c r="C15" s="68">
        <v>0.08</v>
      </c>
      <c r="D15" s="68">
        <v>0.08</v>
      </c>
    </row>
    <row r="16" spans="1:4">
      <c r="A16" s="63">
        <f t="shared" si="0"/>
        <v>13</v>
      </c>
      <c r="B16" s="64" t="s">
        <v>57</v>
      </c>
      <c r="C16" s="68">
        <v>0.25</v>
      </c>
      <c r="D16" s="68">
        <v>0.25</v>
      </c>
    </row>
    <row r="17" spans="1:6">
      <c r="A17" s="63">
        <f t="shared" si="0"/>
        <v>14</v>
      </c>
      <c r="B17" s="64" t="s">
        <v>53</v>
      </c>
      <c r="C17" s="68">
        <v>1.8300000000000003</v>
      </c>
      <c r="D17" s="68">
        <v>1.8300000000000003</v>
      </c>
    </row>
    <row r="18" spans="1:6">
      <c r="A18" s="63">
        <f t="shared" si="0"/>
        <v>15</v>
      </c>
      <c r="B18" s="64" t="s">
        <v>54</v>
      </c>
      <c r="C18" s="68">
        <v>1.88</v>
      </c>
      <c r="D18" s="68">
        <v>1.88</v>
      </c>
    </row>
    <row r="19" spans="1:6">
      <c r="A19" s="63">
        <f t="shared" si="0"/>
        <v>16</v>
      </c>
      <c r="B19" s="69" t="s">
        <v>70</v>
      </c>
      <c r="C19" s="65">
        <v>0.54</v>
      </c>
      <c r="D19" s="65"/>
      <c r="F19" s="66"/>
    </row>
    <row r="20" spans="1:6" ht="18.75" customHeight="1">
      <c r="A20" s="63">
        <f t="shared" si="0"/>
        <v>17</v>
      </c>
      <c r="B20" s="69" t="s">
        <v>78</v>
      </c>
      <c r="C20" s="65">
        <v>0.43</v>
      </c>
      <c r="D20" s="65">
        <v>0.43</v>
      </c>
    </row>
    <row r="21" spans="1:6" ht="31.5">
      <c r="A21" s="63">
        <f t="shared" si="0"/>
        <v>18</v>
      </c>
      <c r="B21" s="69" t="s">
        <v>79</v>
      </c>
      <c r="C21" s="65">
        <v>0.38</v>
      </c>
      <c r="D21" s="65">
        <v>0.38</v>
      </c>
    </row>
    <row r="22" spans="1:6">
      <c r="A22" s="63">
        <f t="shared" si="0"/>
        <v>19</v>
      </c>
      <c r="B22" s="69" t="s">
        <v>71</v>
      </c>
      <c r="C22" s="65">
        <v>0.27</v>
      </c>
      <c r="D22" s="65">
        <v>0.27</v>
      </c>
    </row>
    <row r="23" spans="1:6">
      <c r="A23" s="63">
        <f t="shared" si="0"/>
        <v>20</v>
      </c>
      <c r="B23" s="69" t="s">
        <v>72</v>
      </c>
      <c r="C23" s="65">
        <v>0.02</v>
      </c>
      <c r="D23" s="65">
        <v>0.02</v>
      </c>
    </row>
    <row r="24" spans="1:6">
      <c r="A24" s="63">
        <f t="shared" si="0"/>
        <v>21</v>
      </c>
      <c r="B24" s="69" t="s">
        <v>35</v>
      </c>
      <c r="C24" s="65">
        <v>3.8918356867779211</v>
      </c>
      <c r="D24" s="65">
        <v>3.8918356867779211</v>
      </c>
    </row>
    <row r="25" spans="1:6">
      <c r="A25" s="63">
        <f t="shared" si="0"/>
        <v>22</v>
      </c>
      <c r="B25" s="69" t="s">
        <v>37</v>
      </c>
      <c r="C25" s="68">
        <v>1.68</v>
      </c>
      <c r="D25" s="68">
        <v>1.68</v>
      </c>
    </row>
    <row r="26" spans="1:6">
      <c r="A26" s="63">
        <f t="shared" si="0"/>
        <v>23</v>
      </c>
      <c r="B26" s="69" t="s">
        <v>38</v>
      </c>
      <c r="C26" s="68">
        <v>0.23</v>
      </c>
      <c r="D26" s="68">
        <v>0.23</v>
      </c>
    </row>
    <row r="27" spans="1:6">
      <c r="A27" s="63">
        <f t="shared" si="0"/>
        <v>24</v>
      </c>
      <c r="B27" s="69" t="s">
        <v>40</v>
      </c>
      <c r="C27" s="68">
        <v>1.33</v>
      </c>
      <c r="D27" s="68">
        <v>1.33</v>
      </c>
    </row>
    <row r="28" spans="1:6">
      <c r="A28" s="63">
        <f t="shared" si="0"/>
        <v>25</v>
      </c>
      <c r="B28" s="71" t="s">
        <v>41</v>
      </c>
      <c r="C28" s="72">
        <v>4.4800000000000004</v>
      </c>
      <c r="D28" s="72">
        <v>4.4800000000000004</v>
      </c>
    </row>
    <row r="29" spans="1:6">
      <c r="A29" s="70"/>
      <c r="B29" s="73" t="s">
        <v>73</v>
      </c>
      <c r="C29" s="74">
        <f>SUM(C4:C28)</f>
        <v>19.461835686777924</v>
      </c>
      <c r="D29" s="74">
        <f>SUM(D4:D28)</f>
        <v>18.921835686777918</v>
      </c>
    </row>
    <row r="30" spans="1:6" ht="31.5">
      <c r="A30" s="70"/>
      <c r="B30" s="71" t="s">
        <v>74</v>
      </c>
      <c r="C30" s="104">
        <f>C29-D29</f>
        <v>0.54000000000000625</v>
      </c>
      <c r="D30" s="105"/>
    </row>
    <row r="31" spans="1:6">
      <c r="D31" s="66"/>
    </row>
    <row r="33" spans="2:3">
      <c r="B33" s="61" t="s">
        <v>76</v>
      </c>
      <c r="C33" s="62" t="s">
        <v>77</v>
      </c>
    </row>
  </sheetData>
  <mergeCells count="1">
    <mergeCell ref="C30:D30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2025-02-03T10:40:35Z</dcterms:modified>
</cp:coreProperties>
</file>